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defaultThemeVersion="124226"/>
  <xr:revisionPtr revIDLastSave="4" documentId="11_E2831E36BD35D80C7BD679FBCCFA3D4A9DC16632" xr6:coauthVersionLast="47" xr6:coauthVersionMax="47" xr10:uidLastSave="{7CE83FE3-A88C-4050-A7A3-57B8FD4A34C3}"/>
  <bookViews>
    <workbookView xWindow="-96" yWindow="-96" windowWidth="23232" windowHeight="12432" activeTab="1" xr2:uid="{00000000-000D-0000-FFFF-FFFF00000000}"/>
  </bookViews>
  <sheets>
    <sheet name="Treatment C" sheetId="1" r:id="rId1"/>
    <sheet name="Treatment 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2" i="2" l="1"/>
  <c r="H1188" i="2"/>
  <c r="H1158" i="2"/>
  <c r="H1116" i="2"/>
  <c r="H1066" i="2"/>
  <c r="H1012" i="2"/>
  <c r="H952" i="2"/>
  <c r="C955" i="2"/>
  <c r="B955" i="2"/>
  <c r="H857" i="2"/>
  <c r="H806" i="2"/>
  <c r="H801" i="2"/>
  <c r="H746" i="2"/>
  <c r="H702" i="2"/>
  <c r="H652" i="2"/>
  <c r="H553" i="2"/>
  <c r="H501" i="2"/>
  <c r="H496" i="2"/>
  <c r="E504" i="2" s="1"/>
  <c r="H450" i="2"/>
  <c r="H404" i="2"/>
  <c r="E407" i="2" s="1"/>
  <c r="H356" i="2"/>
  <c r="H310" i="2"/>
  <c r="H265" i="2"/>
  <c r="H261" i="2"/>
  <c r="H210" i="2"/>
  <c r="H156" i="2"/>
  <c r="H98" i="2"/>
  <c r="H45" i="2"/>
  <c r="H1044" i="1"/>
  <c r="H1001" i="1"/>
  <c r="H874" i="1"/>
  <c r="H821" i="1"/>
  <c r="H777" i="1"/>
  <c r="H729" i="1"/>
  <c r="H674" i="1"/>
  <c r="H632" i="1"/>
  <c r="H580" i="1"/>
  <c r="H441" i="1"/>
  <c r="H386" i="1"/>
  <c r="H292" i="1"/>
  <c r="H197" i="1"/>
  <c r="H149" i="1"/>
  <c r="H94" i="1"/>
  <c r="H1222" i="2"/>
  <c r="H1225" i="2"/>
  <c r="F1228" i="2"/>
  <c r="D1228" i="2"/>
  <c r="C1228" i="2"/>
  <c r="B1228" i="2"/>
  <c r="H1207" i="2"/>
  <c r="H1203" i="2"/>
  <c r="E1215" i="2" s="1"/>
  <c r="H1198" i="2"/>
  <c r="H1183" i="2"/>
  <c r="H1111" i="2"/>
  <c r="H1061" i="2"/>
  <c r="H1006" i="2"/>
  <c r="H947" i="2"/>
  <c r="H900" i="2"/>
  <c r="H853" i="2"/>
  <c r="H797" i="2"/>
  <c r="H740" i="2"/>
  <c r="H547" i="2"/>
  <c r="H491" i="2"/>
  <c r="H445" i="2"/>
  <c r="H399" i="2"/>
  <c r="H351" i="2"/>
  <c r="H303" i="2"/>
  <c r="H257" i="2"/>
  <c r="H151" i="2"/>
  <c r="H93" i="2"/>
  <c r="H40" i="2"/>
  <c r="H1039" i="1"/>
  <c r="H992" i="1"/>
  <c r="H997" i="1"/>
  <c r="H951" i="1"/>
  <c r="H955" i="1"/>
  <c r="H924" i="1"/>
  <c r="H870" i="1"/>
  <c r="H816" i="1"/>
  <c r="H772" i="1"/>
  <c r="H724" i="1"/>
  <c r="H670" i="1"/>
  <c r="H627" i="1"/>
  <c r="E635" i="1" s="1"/>
  <c r="H575" i="1"/>
  <c r="H568" i="1"/>
  <c r="H528" i="1"/>
  <c r="H532" i="1"/>
  <c r="H491" i="1"/>
  <c r="H486" i="1"/>
  <c r="H436" i="1"/>
  <c r="H381" i="1"/>
  <c r="H332" i="1"/>
  <c r="H327" i="1"/>
  <c r="H287" i="1"/>
  <c r="H247" i="1"/>
  <c r="H192" i="1"/>
  <c r="H144" i="1"/>
  <c r="H139" i="1"/>
  <c r="H89" i="1"/>
  <c r="H39" i="1"/>
  <c r="H44" i="1"/>
  <c r="H1178" i="2"/>
  <c r="H1152" i="2"/>
  <c r="H1147" i="2"/>
  <c r="H1106" i="2"/>
  <c r="H1056" i="2"/>
  <c r="H1002" i="2"/>
  <c r="H895" i="2"/>
  <c r="H849" i="2"/>
  <c r="H734" i="2"/>
  <c r="H697" i="2"/>
  <c r="H649" i="2"/>
  <c r="H604" i="2"/>
  <c r="H542" i="2"/>
  <c r="H440" i="2"/>
  <c r="H346" i="2"/>
  <c r="H205" i="2"/>
  <c r="H88" i="2"/>
  <c r="H37" i="2"/>
  <c r="H1034" i="1"/>
  <c r="H988" i="1"/>
  <c r="H946" i="1"/>
  <c r="H915" i="1"/>
  <c r="H920" i="1"/>
  <c r="H865" i="1"/>
  <c r="H811" i="1"/>
  <c r="H768" i="1"/>
  <c r="H719" i="1"/>
  <c r="H665" i="1"/>
  <c r="H622" i="1"/>
  <c r="H481" i="1"/>
  <c r="H431" i="1"/>
  <c r="H426" i="1"/>
  <c r="H376" i="1"/>
  <c r="H322" i="1"/>
  <c r="H243" i="1"/>
  <c r="H238" i="1"/>
  <c r="H187" i="1"/>
  <c r="H84" i="1"/>
  <c r="H35" i="1"/>
  <c r="C47" i="1"/>
  <c r="H10" i="2"/>
  <c r="H15" i="2"/>
  <c r="H19" i="2"/>
  <c r="H23" i="2"/>
  <c r="H28" i="2"/>
  <c r="H33" i="2"/>
  <c r="H53" i="2"/>
  <c r="H58" i="2"/>
  <c r="H63" i="2"/>
  <c r="H68" i="2"/>
  <c r="H73" i="2"/>
  <c r="H78" i="2"/>
  <c r="H84" i="2"/>
  <c r="H108" i="2"/>
  <c r="H113" i="2"/>
  <c r="H118" i="2"/>
  <c r="H123" i="2"/>
  <c r="H128" i="2"/>
  <c r="H133" i="2"/>
  <c r="H141" i="2"/>
  <c r="H146" i="2"/>
  <c r="H166" i="2"/>
  <c r="H171" i="2"/>
  <c r="H176" i="2"/>
  <c r="H181" i="2"/>
  <c r="H185" i="2"/>
  <c r="H190" i="2"/>
  <c r="H195" i="2"/>
  <c r="H200" i="2"/>
  <c r="E213" i="2" s="1"/>
  <c r="H218" i="2"/>
  <c r="H223" i="2"/>
  <c r="E268" i="2" s="1"/>
  <c r="H228" i="2"/>
  <c r="H233" i="2"/>
  <c r="H238" i="2"/>
  <c r="H243" i="2"/>
  <c r="H248" i="2"/>
  <c r="H252" i="2"/>
  <c r="H275" i="2"/>
  <c r="H280" i="2"/>
  <c r="H285" i="2"/>
  <c r="H290" i="2"/>
  <c r="H294" i="2"/>
  <c r="H298" i="2"/>
  <c r="E313" i="2" s="1"/>
  <c r="H316" i="2"/>
  <c r="H321" i="2"/>
  <c r="H326" i="2"/>
  <c r="H331" i="2"/>
  <c r="H336" i="2"/>
  <c r="H341" i="2"/>
  <c r="H364" i="2"/>
  <c r="H369" i="2"/>
  <c r="H374" i="2"/>
  <c r="H379" i="2"/>
  <c r="H384" i="2"/>
  <c r="H389" i="2"/>
  <c r="H394" i="2"/>
  <c r="H414" i="2"/>
  <c r="E453" i="2" s="1"/>
  <c r="H420" i="2"/>
  <c r="H425" i="2"/>
  <c r="H430" i="2"/>
  <c r="H435" i="2"/>
  <c r="H458" i="2"/>
  <c r="H463" i="2"/>
  <c r="H468" i="2"/>
  <c r="H473" i="2"/>
  <c r="H478" i="2"/>
  <c r="H482" i="2"/>
  <c r="H486" i="2"/>
  <c r="H511" i="2"/>
  <c r="H516" i="2"/>
  <c r="E556" i="2" s="1"/>
  <c r="H521" i="2"/>
  <c r="H526" i="2"/>
  <c r="H531" i="2"/>
  <c r="H536" i="2"/>
  <c r="H563" i="2"/>
  <c r="H569" i="2"/>
  <c r="H574" i="2"/>
  <c r="H579" i="2"/>
  <c r="H584" i="2"/>
  <c r="H589" i="2"/>
  <c r="H594" i="2"/>
  <c r="H599" i="2"/>
  <c r="H613" i="2"/>
  <c r="H618" i="2"/>
  <c r="H623" i="2"/>
  <c r="H628" i="2"/>
  <c r="H634" i="2"/>
  <c r="H639" i="2"/>
  <c r="H644" i="2"/>
  <c r="H661" i="2"/>
  <c r="H666" i="2"/>
  <c r="H671" i="2"/>
  <c r="H676" i="2"/>
  <c r="H681" i="2"/>
  <c r="H686" i="2"/>
  <c r="H692" i="2"/>
  <c r="H711" i="2"/>
  <c r="H715" i="2"/>
  <c r="E749" i="2" s="1"/>
  <c r="H720" i="2"/>
  <c r="H725" i="2"/>
  <c r="H730" i="2"/>
  <c r="H755" i="2"/>
  <c r="H760" i="2"/>
  <c r="H765" i="2"/>
  <c r="H770" i="2"/>
  <c r="H775" i="2"/>
  <c r="H780" i="2"/>
  <c r="H786" i="2"/>
  <c r="H791" i="2"/>
  <c r="H814" i="2"/>
  <c r="H819" i="2"/>
  <c r="H824" i="2"/>
  <c r="E860" i="2" s="1"/>
  <c r="H829" i="2"/>
  <c r="H834" i="2"/>
  <c r="H839" i="2"/>
  <c r="H844" i="2"/>
  <c r="H864" i="2"/>
  <c r="H869" i="2"/>
  <c r="H874" i="2"/>
  <c r="H880" i="2"/>
  <c r="H885" i="2"/>
  <c r="H890" i="2"/>
  <c r="H909" i="2"/>
  <c r="H913" i="2"/>
  <c r="H918" i="2"/>
  <c r="H923" i="2"/>
  <c r="E955" i="2" s="1"/>
  <c r="H928" i="2"/>
  <c r="H932" i="2"/>
  <c r="H937" i="2"/>
  <c r="H942" i="2"/>
  <c r="H961" i="2"/>
  <c r="H966" i="2"/>
  <c r="H971" i="2"/>
  <c r="H976" i="2"/>
  <c r="H981" i="2"/>
  <c r="H986" i="2"/>
  <c r="H991" i="2"/>
  <c r="H997" i="2"/>
  <c r="H1021" i="2"/>
  <c r="H1026" i="2"/>
  <c r="E1069" i="2" s="1"/>
  <c r="H1031" i="2"/>
  <c r="H1036" i="2"/>
  <c r="H1041" i="2"/>
  <c r="H1046" i="2"/>
  <c r="H1051" i="2"/>
  <c r="H1076" i="2"/>
  <c r="H1081" i="2"/>
  <c r="H1086" i="2"/>
  <c r="H1091" i="2"/>
  <c r="H1096" i="2"/>
  <c r="H1101" i="2"/>
  <c r="H1126" i="2"/>
  <c r="H1131" i="2"/>
  <c r="H1136" i="2"/>
  <c r="E1161" i="2" s="1"/>
  <c r="H1142" i="2"/>
  <c r="H1168" i="2"/>
  <c r="E1191" i="2" s="1"/>
  <c r="H1173" i="2"/>
  <c r="G1215" i="2"/>
  <c r="F1215" i="2"/>
  <c r="D1215" i="2"/>
  <c r="C1215" i="2"/>
  <c r="B1215" i="2"/>
  <c r="H1029" i="1"/>
  <c r="E1047" i="1" s="1"/>
  <c r="H909" i="1"/>
  <c r="H860" i="1"/>
  <c r="H806" i="1"/>
  <c r="H763" i="1"/>
  <c r="H714" i="1"/>
  <c r="H617" i="1"/>
  <c r="H562" i="1"/>
  <c r="H523" i="1"/>
  <c r="H371" i="1"/>
  <c r="E389" i="1" s="1"/>
  <c r="H278" i="1"/>
  <c r="H282" i="1"/>
  <c r="H134" i="1"/>
  <c r="H79" i="1"/>
  <c r="H207" i="1"/>
  <c r="H212" i="1"/>
  <c r="H217" i="1"/>
  <c r="H223" i="1"/>
  <c r="H228" i="1"/>
  <c r="H233" i="1"/>
  <c r="H257" i="1"/>
  <c r="H262" i="1"/>
  <c r="H267" i="1"/>
  <c r="H272" i="1"/>
  <c r="H302" i="1"/>
  <c r="H307" i="1"/>
  <c r="H312" i="1"/>
  <c r="H317" i="1"/>
  <c r="H341" i="1"/>
  <c r="H346" i="1"/>
  <c r="H351" i="1"/>
  <c r="H356" i="1"/>
  <c r="H361" i="1"/>
  <c r="H366" i="1"/>
  <c r="H396" i="1"/>
  <c r="H401" i="1"/>
  <c r="H406" i="1"/>
  <c r="H411" i="1"/>
  <c r="H416" i="1"/>
  <c r="H421" i="1"/>
  <c r="H451" i="1"/>
  <c r="H456" i="1"/>
  <c r="H461" i="1"/>
  <c r="H466" i="1"/>
  <c r="H471" i="1"/>
  <c r="H476" i="1"/>
  <c r="H500" i="1"/>
  <c r="H505" i="1"/>
  <c r="H510" i="1"/>
  <c r="H515" i="1"/>
  <c r="H519" i="1"/>
  <c r="H542" i="1"/>
  <c r="E583" i="1" s="1"/>
  <c r="H547" i="1"/>
  <c r="H552" i="1"/>
  <c r="H556" i="1"/>
  <c r="H590" i="1"/>
  <c r="H595" i="1"/>
  <c r="H600" i="1"/>
  <c r="H605" i="1"/>
  <c r="H612" i="1"/>
  <c r="H642" i="1"/>
  <c r="E677" i="1" s="1"/>
  <c r="H647" i="1"/>
  <c r="H652" i="1"/>
  <c r="H656" i="1"/>
  <c r="H661" i="1"/>
  <c r="H684" i="1"/>
  <c r="H689" i="1"/>
  <c r="E732" i="1" s="1"/>
  <c r="H694" i="1"/>
  <c r="H699" i="1"/>
  <c r="H704" i="1"/>
  <c r="H709" i="1"/>
  <c r="H738" i="1"/>
  <c r="H743" i="1"/>
  <c r="H748" i="1"/>
  <c r="H753" i="1"/>
  <c r="E780" i="1" s="1"/>
  <c r="H758" i="1"/>
  <c r="H787" i="1"/>
  <c r="H792" i="1"/>
  <c r="E824" i="1" s="1"/>
  <c r="H797" i="1"/>
  <c r="H801" i="1"/>
  <c r="H831" i="1"/>
  <c r="H836" i="1"/>
  <c r="H841" i="1"/>
  <c r="H846" i="1"/>
  <c r="H851" i="1"/>
  <c r="H856" i="1"/>
  <c r="H884" i="1"/>
  <c r="H889" i="1"/>
  <c r="H894" i="1"/>
  <c r="H899" i="1"/>
  <c r="H904" i="1"/>
  <c r="H931" i="1"/>
  <c r="H935" i="1"/>
  <c r="H940" i="1"/>
  <c r="H963" i="1"/>
  <c r="H968" i="1"/>
  <c r="H973" i="1"/>
  <c r="H978" i="1"/>
  <c r="H983" i="1"/>
  <c r="G1191" i="2"/>
  <c r="G1161" i="2"/>
  <c r="G1119" i="2"/>
  <c r="G1069" i="2"/>
  <c r="G1015" i="2"/>
  <c r="G955" i="2"/>
  <c r="G903" i="2"/>
  <c r="G860" i="2"/>
  <c r="G809" i="2"/>
  <c r="G749" i="2"/>
  <c r="G705" i="2"/>
  <c r="G655" i="2"/>
  <c r="G607" i="2"/>
  <c r="G556" i="2"/>
  <c r="G504" i="2"/>
  <c r="G453" i="2"/>
  <c r="G407" i="2"/>
  <c r="G359" i="2"/>
  <c r="G313" i="2"/>
  <c r="G268" i="2"/>
  <c r="G213" i="2"/>
  <c r="G159" i="2"/>
  <c r="G101" i="2"/>
  <c r="G48" i="2"/>
  <c r="G494" i="1"/>
  <c r="G444" i="1"/>
  <c r="G389" i="1"/>
  <c r="G335" i="1"/>
  <c r="G295" i="1"/>
  <c r="G250" i="1"/>
  <c r="G535" i="1"/>
  <c r="G583" i="1"/>
  <c r="G635" i="1"/>
  <c r="G677" i="1"/>
  <c r="G732" i="1"/>
  <c r="G780" i="1"/>
  <c r="G824" i="1"/>
  <c r="G877" i="1"/>
  <c r="G927" i="1"/>
  <c r="G958" i="1"/>
  <c r="G1004" i="1"/>
  <c r="G1047" i="1"/>
  <c r="G200" i="1"/>
  <c r="G152" i="1"/>
  <c r="G97" i="1"/>
  <c r="G47" i="1"/>
  <c r="F1191" i="2"/>
  <c r="D1191" i="2"/>
  <c r="C1191" i="2"/>
  <c r="B1191" i="2"/>
  <c r="H182" i="1"/>
  <c r="H129" i="1"/>
  <c r="H74" i="1"/>
  <c r="H30" i="1"/>
  <c r="H1023" i="1"/>
  <c r="F250" i="1"/>
  <c r="E250" i="1"/>
  <c r="D250" i="1"/>
  <c r="C250" i="1"/>
  <c r="B250" i="1"/>
  <c r="H157" i="1"/>
  <c r="E200" i="1" s="1"/>
  <c r="H162" i="1"/>
  <c r="H167" i="1"/>
  <c r="H172" i="1"/>
  <c r="H177" i="1"/>
  <c r="F200" i="1"/>
  <c r="D200" i="1"/>
  <c r="C200" i="1"/>
  <c r="B200" i="1"/>
  <c r="H104" i="1"/>
  <c r="H109" i="1"/>
  <c r="H114" i="1"/>
  <c r="H119" i="1"/>
  <c r="H124" i="1"/>
  <c r="E152" i="1"/>
  <c r="D152" i="1"/>
  <c r="D97" i="1"/>
  <c r="B97" i="1"/>
  <c r="C97" i="1"/>
  <c r="H69" i="1"/>
  <c r="H25" i="1"/>
  <c r="H10" i="1"/>
  <c r="E47" i="1" s="1"/>
  <c r="H15" i="1"/>
  <c r="H20" i="1"/>
  <c r="D47" i="1"/>
  <c r="H54" i="1"/>
  <c r="E97" i="1" s="1"/>
  <c r="H59" i="1"/>
  <c r="H64" i="1"/>
  <c r="H1013" i="1"/>
  <c r="H1018" i="1"/>
  <c r="F583" i="1"/>
  <c r="F47" i="1"/>
  <c r="D295" i="1"/>
  <c r="F1161" i="2"/>
  <c r="D1161" i="2"/>
  <c r="C1161" i="2"/>
  <c r="B1161" i="2"/>
  <c r="F1119" i="2"/>
  <c r="E1119" i="2"/>
  <c r="D1119" i="2"/>
  <c r="C1119" i="2"/>
  <c r="B1119" i="2"/>
  <c r="F1069" i="2"/>
  <c r="D1069" i="2"/>
  <c r="C1069" i="2"/>
  <c r="B1069" i="2"/>
  <c r="F1015" i="2"/>
  <c r="E1015" i="2"/>
  <c r="D1015" i="2"/>
  <c r="C1015" i="2"/>
  <c r="B1015" i="2"/>
  <c r="F955" i="2"/>
  <c r="D955" i="2"/>
  <c r="F903" i="2"/>
  <c r="E903" i="2"/>
  <c r="D903" i="2"/>
  <c r="C903" i="2"/>
  <c r="B903" i="2"/>
  <c r="F860" i="2"/>
  <c r="D860" i="2"/>
  <c r="C860" i="2"/>
  <c r="B860" i="2"/>
  <c r="F809" i="2"/>
  <c r="E809" i="2"/>
  <c r="D809" i="2"/>
  <c r="C809" i="2"/>
  <c r="B809" i="2"/>
  <c r="F749" i="2"/>
  <c r="D749" i="2"/>
  <c r="C749" i="2"/>
  <c r="B749" i="2"/>
  <c r="F705" i="2"/>
  <c r="E705" i="2"/>
  <c r="D705" i="2"/>
  <c r="C705" i="2"/>
  <c r="B705" i="2"/>
  <c r="F655" i="2"/>
  <c r="E655" i="2"/>
  <c r="D655" i="2"/>
  <c r="C655" i="2"/>
  <c r="B655" i="2"/>
  <c r="F607" i="2"/>
  <c r="E607" i="2"/>
  <c r="D607" i="2"/>
  <c r="C607" i="2"/>
  <c r="B607" i="2"/>
  <c r="F556" i="2"/>
  <c r="D556" i="2"/>
  <c r="C556" i="2"/>
  <c r="B556" i="2"/>
  <c r="F504" i="2"/>
  <c r="D504" i="2"/>
  <c r="C504" i="2"/>
  <c r="B504" i="2"/>
  <c r="F453" i="2"/>
  <c r="D453" i="2"/>
  <c r="C453" i="2"/>
  <c r="B453" i="2"/>
  <c r="F407" i="2"/>
  <c r="D407" i="2"/>
  <c r="C407" i="2"/>
  <c r="B407" i="2"/>
  <c r="F359" i="2"/>
  <c r="D359" i="2"/>
  <c r="C359" i="2"/>
  <c r="B359" i="2"/>
  <c r="F313" i="2"/>
  <c r="D313" i="2"/>
  <c r="C313" i="2"/>
  <c r="B313" i="2"/>
  <c r="F268" i="2"/>
  <c r="D268" i="2"/>
  <c r="C268" i="2"/>
  <c r="B268" i="2"/>
  <c r="F213" i="2"/>
  <c r="D213" i="2"/>
  <c r="C213" i="2"/>
  <c r="B213" i="2"/>
  <c r="F159" i="2"/>
  <c r="E159" i="2"/>
  <c r="D159" i="2"/>
  <c r="C159" i="2"/>
  <c r="B159" i="2"/>
  <c r="F101" i="2"/>
  <c r="D101" i="2"/>
  <c r="C101" i="2"/>
  <c r="B101" i="2"/>
  <c r="F48" i="2"/>
  <c r="D48" i="2"/>
  <c r="C48" i="2"/>
  <c r="B48" i="2"/>
  <c r="F1047" i="1"/>
  <c r="D1047" i="1"/>
  <c r="C1047" i="1"/>
  <c r="B1047" i="1"/>
  <c r="F1004" i="1"/>
  <c r="E1004" i="1"/>
  <c r="D1004" i="1"/>
  <c r="C1004" i="1"/>
  <c r="B1004" i="1"/>
  <c r="F958" i="1"/>
  <c r="D958" i="1"/>
  <c r="C958" i="1"/>
  <c r="B958" i="1"/>
  <c r="F927" i="1"/>
  <c r="E927" i="1"/>
  <c r="D927" i="1"/>
  <c r="C927" i="1"/>
  <c r="B927" i="1"/>
  <c r="F877" i="1"/>
  <c r="E877" i="1"/>
  <c r="D877" i="1"/>
  <c r="C877" i="1"/>
  <c r="B877" i="1"/>
  <c r="F824" i="1"/>
  <c r="D824" i="1"/>
  <c r="C824" i="1"/>
  <c r="B824" i="1"/>
  <c r="F780" i="1"/>
  <c r="D780" i="1"/>
  <c r="C780" i="1"/>
  <c r="B780" i="1"/>
  <c r="F732" i="1"/>
  <c r="D732" i="1"/>
  <c r="C732" i="1"/>
  <c r="B732" i="1"/>
  <c r="F677" i="1"/>
  <c r="D677" i="1"/>
  <c r="C677" i="1"/>
  <c r="B677" i="1"/>
  <c r="F635" i="1"/>
  <c r="D635" i="1"/>
  <c r="C635" i="1"/>
  <c r="B635" i="1"/>
  <c r="D583" i="1"/>
  <c r="C583" i="1"/>
  <c r="B583" i="1"/>
  <c r="F535" i="1"/>
  <c r="E535" i="1"/>
  <c r="D535" i="1"/>
  <c r="C535" i="1"/>
  <c r="B535" i="1"/>
  <c r="F494" i="1"/>
  <c r="E494" i="1"/>
  <c r="D494" i="1"/>
  <c r="C494" i="1"/>
  <c r="B494" i="1"/>
  <c r="F444" i="1"/>
  <c r="E444" i="1"/>
  <c r="D444" i="1"/>
  <c r="C444" i="1"/>
  <c r="B444" i="1"/>
  <c r="F389" i="1"/>
  <c r="D389" i="1"/>
  <c r="C389" i="1"/>
  <c r="B389" i="1"/>
  <c r="F335" i="1"/>
  <c r="D335" i="1"/>
  <c r="C335" i="1"/>
  <c r="B335" i="1"/>
  <c r="F295" i="1"/>
  <c r="E295" i="1"/>
  <c r="C295" i="1"/>
  <c r="B295" i="1"/>
  <c r="F152" i="1"/>
  <c r="C152" i="1"/>
  <c r="B152" i="1"/>
  <c r="F97" i="1"/>
  <c r="B47" i="1"/>
  <c r="E359" i="2" l="1"/>
  <c r="E48" i="2"/>
  <c r="E1228" i="2"/>
  <c r="E958" i="1"/>
  <c r="G1228" i="2"/>
  <c r="E335" i="1"/>
  <c r="E101" i="2"/>
</calcChain>
</file>

<file path=xl/sharedStrings.xml><?xml version="1.0" encoding="utf-8"?>
<sst xmlns="http://schemas.openxmlformats.org/spreadsheetml/2006/main" count="6899" uniqueCount="316">
  <si>
    <t>TREATMENT CONTROL 'C'</t>
  </si>
  <si>
    <t>Fruit data collection per plant</t>
  </si>
  <si>
    <t>"C1" PLANT</t>
  </si>
  <si>
    <t>Height (mm)</t>
  </si>
  <si>
    <t>Width (mm)</t>
  </si>
  <si>
    <t>Weight (g)</t>
  </si>
  <si>
    <t xml:space="preserve">Cluster number </t>
  </si>
  <si>
    <t>Color</t>
  </si>
  <si>
    <t>Total cluster weight (g)</t>
  </si>
  <si>
    <t>Tomato 1</t>
  </si>
  <si>
    <t>Tomato 2</t>
  </si>
  <si>
    <t>Tomato 3</t>
  </si>
  <si>
    <t>Tomato 4</t>
  </si>
  <si>
    <t>Tomato 5</t>
  </si>
  <si>
    <t>"C2" PLANT</t>
  </si>
  <si>
    <t>"C3" PLANT</t>
  </si>
  <si>
    <t>"C4" PLANT</t>
  </si>
  <si>
    <t>"C5" PLANT</t>
  </si>
  <si>
    <t>"C6" PLANT</t>
  </si>
  <si>
    <t>"C7" PLANT</t>
  </si>
  <si>
    <t>"C8" PLANT</t>
  </si>
  <si>
    <t>"C9" PLANT</t>
  </si>
  <si>
    <t>"C10" PLANT</t>
  </si>
  <si>
    <t>"C11" PLANT</t>
  </si>
  <si>
    <t>"C12" PLANT</t>
  </si>
  <si>
    <t>"C13" PLANT</t>
  </si>
  <si>
    <t>"C14" PLANT</t>
  </si>
  <si>
    <t>"C15" PLANT</t>
  </si>
  <si>
    <t>"C16" PLANT</t>
  </si>
  <si>
    <t>"C17" PLANT</t>
  </si>
  <si>
    <t>"C18" PLANT</t>
  </si>
  <si>
    <t>"C19" PLANT</t>
  </si>
  <si>
    <t>"C20" PLANT</t>
  </si>
  <si>
    <t>"C21" PLANT</t>
  </si>
  <si>
    <t>"C22" PLANT</t>
  </si>
  <si>
    <t>Dark orange</t>
  </si>
  <si>
    <t>Red</t>
  </si>
  <si>
    <t>—</t>
  </si>
  <si>
    <t>* Tomato harvested in advance for single measurement of its weight (1 week ago)</t>
  </si>
  <si>
    <t>Tomato 4*</t>
  </si>
  <si>
    <t>Tomato 5*</t>
  </si>
  <si>
    <t>Tomato 6</t>
  </si>
  <si>
    <t>Tomato 7</t>
  </si>
  <si>
    <t>Tomato 8</t>
  </si>
  <si>
    <t>Tomato 9*</t>
  </si>
  <si>
    <t>Tomato 10*</t>
  </si>
  <si>
    <t>* Tomato harvested in advance for single measurement of its weight (2 weeks ago)</t>
  </si>
  <si>
    <t>Tomato 9</t>
  </si>
  <si>
    <t>Tomato 10</t>
  </si>
  <si>
    <t>Tomato 11</t>
  </si>
  <si>
    <t>Tomato 12</t>
  </si>
  <si>
    <t>Tomato 13</t>
  </si>
  <si>
    <t>Tomato 14</t>
  </si>
  <si>
    <t>Tomato 15</t>
  </si>
  <si>
    <t>Tomato 2 (der)</t>
  </si>
  <si>
    <t>Tomato 3 (izq)</t>
  </si>
  <si>
    <t>* Cluster in which was followed the growing of the fruits</t>
  </si>
  <si>
    <t>Tomato 10 (ult)</t>
  </si>
  <si>
    <t>Tomato 11 (der)</t>
  </si>
  <si>
    <t>Tomato 12 (izq)</t>
  </si>
  <si>
    <t>Dark green</t>
  </si>
  <si>
    <t>Green</t>
  </si>
  <si>
    <t>Tomato 2 (izq)</t>
  </si>
  <si>
    <t>Tomato 15 (ult)</t>
  </si>
  <si>
    <t>Tomato 16 (izq)</t>
  </si>
  <si>
    <t>Tomato 17 (der)</t>
  </si>
  <si>
    <t>Tomato 18</t>
  </si>
  <si>
    <t>Tomato 19</t>
  </si>
  <si>
    <t>Light orange</t>
  </si>
  <si>
    <t>Tomato 16 (izq ult)</t>
  </si>
  <si>
    <t>Tomato 18 (izq atras)</t>
  </si>
  <si>
    <t>Tomato 20</t>
  </si>
  <si>
    <t>Tomato 15 (ult izq)</t>
  </si>
  <si>
    <t>Tomato 16 (der)</t>
  </si>
  <si>
    <t>Tomato 17 (izq)</t>
  </si>
  <si>
    <t>Tomato 11 (izq)</t>
  </si>
  <si>
    <t>Tomato 12 (der)</t>
  </si>
  <si>
    <t>Tomato 6 (ult)</t>
  </si>
  <si>
    <t>Tomato 7 (der)</t>
  </si>
  <si>
    <t>Tomato 8 (izq)</t>
  </si>
  <si>
    <t>Tomato 16</t>
  </si>
  <si>
    <t>Tomato 17</t>
  </si>
  <si>
    <t>Tomato 4 (izq ult)</t>
  </si>
  <si>
    <t>Tomato 5 (der)</t>
  </si>
  <si>
    <t>Tomato 6 (izq atras)</t>
  </si>
  <si>
    <t>Tomato 16 (ult)</t>
  </si>
  <si>
    <t>Tomato 18 (der)</t>
  </si>
  <si>
    <t>Tomato 14 (ult)</t>
  </si>
  <si>
    <t>Tomato 15 (izq)</t>
  </si>
  <si>
    <t>Tomato 21</t>
  </si>
  <si>
    <t>Tomato 11 (ult)</t>
  </si>
  <si>
    <t>Tomato 13 (izq)</t>
  </si>
  <si>
    <t>Tomato 22</t>
  </si>
  <si>
    <t>Tomato 23</t>
  </si>
  <si>
    <t>Tomato 24</t>
  </si>
  <si>
    <t>Tomato 25</t>
  </si>
  <si>
    <t>Tomato 21 (ult)</t>
  </si>
  <si>
    <t>Tomato 22 (der)</t>
  </si>
  <si>
    <t>Tomato 23 (izq)</t>
  </si>
  <si>
    <t>Tomato 18 (izq)</t>
  </si>
  <si>
    <t>TREATMENT LED 'L'</t>
  </si>
  <si>
    <t>"L1" PLANT</t>
  </si>
  <si>
    <t>"L2" PLANT</t>
  </si>
  <si>
    <t>"L3" PLANT</t>
  </si>
  <si>
    <t>"L4" PLANT</t>
  </si>
  <si>
    <t>"L5" PLANT</t>
  </si>
  <si>
    <t>"L6" PLANT</t>
  </si>
  <si>
    <t>"L7" PLANT</t>
  </si>
  <si>
    <t>"L8" PLANT</t>
  </si>
  <si>
    <t>"L9" PLANT</t>
  </si>
  <si>
    <t>"L10" PLANT</t>
  </si>
  <si>
    <t>"L11" PLANT</t>
  </si>
  <si>
    <t>"L12" PLANT</t>
  </si>
  <si>
    <t>"L13" PLANT</t>
  </si>
  <si>
    <t>"L14" PLANT</t>
  </si>
  <si>
    <t>"L15" PLANT</t>
  </si>
  <si>
    <t>"L16" PLANT</t>
  </si>
  <si>
    <t>"L17" PLANT</t>
  </si>
  <si>
    <t>"L18" PLANT</t>
  </si>
  <si>
    <t>"L19" PLANT</t>
  </si>
  <si>
    <t>"L20" PLANT</t>
  </si>
  <si>
    <t>"L21" PLANT</t>
  </si>
  <si>
    <t>"L22" PLANT</t>
  </si>
  <si>
    <t>Tomato 7*</t>
  </si>
  <si>
    <t>Tomato 8*</t>
  </si>
  <si>
    <t>Tomato 11*</t>
  </si>
  <si>
    <t>Tomato 11 (ult izq)</t>
  </si>
  <si>
    <t>Tomato 12 (ult der)</t>
  </si>
  <si>
    <t>Tomato 13 (der atrás)</t>
  </si>
  <si>
    <t>Tomato 14 (izq atrás)</t>
  </si>
  <si>
    <t>Tomato 9 (izq ult)</t>
  </si>
  <si>
    <t>Tomato 10 (der ult)</t>
  </si>
  <si>
    <t>Tomato 11 (izq atrás)</t>
  </si>
  <si>
    <t>Tomato 12 (der atrás)</t>
  </si>
  <si>
    <t>Tomato 13 (izq atrás de todo)</t>
  </si>
  <si>
    <t>Tomato 17 (ult o der ult)</t>
  </si>
  <si>
    <t>Tomato 19 (der o der atrás)</t>
  </si>
  <si>
    <t>Tomato 20 (izq atrás)</t>
  </si>
  <si>
    <t>"L23" PLANT</t>
  </si>
  <si>
    <t>Tomato 9 (ult)</t>
  </si>
  <si>
    <t>Tomato 10 (der)</t>
  </si>
  <si>
    <t>Tomato 12 (der ult)</t>
  </si>
  <si>
    <t>Tomato 14 (der atras)</t>
  </si>
  <si>
    <t>Tomato 13 (der)</t>
  </si>
  <si>
    <t>Tomato 26</t>
  </si>
  <si>
    <t>Tomato 8 (ult)</t>
  </si>
  <si>
    <t>Tomato 9 (izq)</t>
  </si>
  <si>
    <t>Tomato 20 (ult)</t>
  </si>
  <si>
    <t>Tomato 21 (der)</t>
  </si>
  <si>
    <t>Tomato 22 (izq)</t>
  </si>
  <si>
    <t>Tomato 27</t>
  </si>
  <si>
    <t>Tomato 28</t>
  </si>
  <si>
    <t>Tomato 29</t>
  </si>
  <si>
    <t>Tomato 30</t>
  </si>
  <si>
    <t>Tomato 12 (ult)</t>
  </si>
  <si>
    <t>Tomato 14 (der)</t>
  </si>
  <si>
    <t>Tomato 15 (ult der)</t>
  </si>
  <si>
    <t>Tomato 17 (der atrás)</t>
  </si>
  <si>
    <t>Tomato 31</t>
  </si>
  <si>
    <t>Tomato 7 (izq)</t>
  </si>
  <si>
    <t>Tomato 8 (der)</t>
  </si>
  <si>
    <t>Tomato average weight per cluster</t>
  </si>
  <si>
    <t>Average  height (mm)</t>
  </si>
  <si>
    <t>Average width (mm)</t>
  </si>
  <si>
    <t>Total clusters number</t>
  </si>
  <si>
    <t>Tomato average weight per plant</t>
  </si>
  <si>
    <t>Results</t>
  </si>
  <si>
    <t>PLANT C1</t>
  </si>
  <si>
    <t>PLANT C22</t>
  </si>
  <si>
    <t>PLANT C21</t>
  </si>
  <si>
    <t>PLANT C20</t>
  </si>
  <si>
    <t>PLANT C19</t>
  </si>
  <si>
    <t>PLANT C18</t>
  </si>
  <si>
    <t>PLANT C17</t>
  </si>
  <si>
    <t>PLANT C16</t>
  </si>
  <si>
    <t>PLANT C15</t>
  </si>
  <si>
    <t>PLANT C14</t>
  </si>
  <si>
    <t>PLANT C13</t>
  </si>
  <si>
    <t>PLANT C12</t>
  </si>
  <si>
    <t>PLANT C11</t>
  </si>
  <si>
    <t>PLANT C10</t>
  </si>
  <si>
    <t>PLANT C9</t>
  </si>
  <si>
    <t>PLANT C8</t>
  </si>
  <si>
    <t>PLANT C7</t>
  </si>
  <si>
    <t>PLANT C6</t>
  </si>
  <si>
    <t>PLANT C5</t>
  </si>
  <si>
    <t>PLANT C4</t>
  </si>
  <si>
    <t>PLANT C3</t>
  </si>
  <si>
    <t>PLANT C2</t>
  </si>
  <si>
    <t xml:space="preserve">Total number of tomatoes </t>
  </si>
  <si>
    <t>PLANT L1</t>
  </si>
  <si>
    <t>PLANT L2</t>
  </si>
  <si>
    <t>PLANT L3</t>
  </si>
  <si>
    <t>PLANT L4</t>
  </si>
  <si>
    <t>PLANT L5</t>
  </si>
  <si>
    <t>PLANT L6</t>
  </si>
  <si>
    <t>PLANT L7</t>
  </si>
  <si>
    <t>PLANT L8</t>
  </si>
  <si>
    <t>PLANT L9</t>
  </si>
  <si>
    <t>PLANT L10</t>
  </si>
  <si>
    <t>PLANT L11</t>
  </si>
  <si>
    <t>PLANT L12</t>
  </si>
  <si>
    <t>PLANT L13</t>
  </si>
  <si>
    <t>PLANT L14</t>
  </si>
  <si>
    <t>PLANT L15</t>
  </si>
  <si>
    <t>PLANT L16</t>
  </si>
  <si>
    <t>PLANT L17</t>
  </si>
  <si>
    <t>PLANT L18</t>
  </si>
  <si>
    <t>PLANT L19</t>
  </si>
  <si>
    <t>PLANT L20</t>
  </si>
  <si>
    <t>PLANT L21</t>
  </si>
  <si>
    <t>PLANT L22</t>
  </si>
  <si>
    <t>PLANT L23</t>
  </si>
  <si>
    <t xml:space="preserve">Cluster number* </t>
  </si>
  <si>
    <t>Cluster number *</t>
  </si>
  <si>
    <t>Tomato 32</t>
  </si>
  <si>
    <t>Tomato 33</t>
  </si>
  <si>
    <t>Tomato 34</t>
  </si>
  <si>
    <t>Tomato 35</t>
  </si>
  <si>
    <t>Tomato 36</t>
  </si>
  <si>
    <t>"L24" PLANT</t>
  </si>
  <si>
    <t>PLANT L24</t>
  </si>
  <si>
    <t>Tomato 37</t>
  </si>
  <si>
    <t>Tomato 38</t>
  </si>
  <si>
    <t>Tomato 1*</t>
  </si>
  <si>
    <t>Tomato 2*</t>
  </si>
  <si>
    <t>Cluster with the rest of tomatoes probably cut by a worker by mistake</t>
  </si>
  <si>
    <t>Tomato 3 (ult)</t>
  </si>
  <si>
    <t>Tomato 4 (der)</t>
  </si>
  <si>
    <t>Tomato 5 (izq)</t>
  </si>
  <si>
    <t>Total weight (g)</t>
  </si>
  <si>
    <t xml:space="preserve">Dark orange </t>
  </si>
  <si>
    <t>Tomato 39</t>
  </si>
  <si>
    <t>Tomato 40</t>
  </si>
  <si>
    <t>Tomato 41</t>
  </si>
  <si>
    <t>Tomato 42</t>
  </si>
  <si>
    <t>Tomato 43</t>
  </si>
  <si>
    <t>Dark  orange</t>
  </si>
  <si>
    <t>Tomato 1 (ult)</t>
  </si>
  <si>
    <t>Tomato 3 (der)</t>
  </si>
  <si>
    <t>Tomato 26 (ult)</t>
  </si>
  <si>
    <t>Tomato 27 (izq)</t>
  </si>
  <si>
    <t>Tomato 28 (der)</t>
  </si>
  <si>
    <t>Tomato 16 (ult izq)</t>
  </si>
  <si>
    <t>Tomato 17 (ult der)</t>
  </si>
  <si>
    <t>Tomato 19 (der)</t>
  </si>
  <si>
    <t>"L25" PLANT</t>
  </si>
  <si>
    <t>PLANT L25</t>
  </si>
  <si>
    <t>Tomato 44</t>
  </si>
  <si>
    <t>Tomato 45</t>
  </si>
  <si>
    <t>Tomato 46</t>
  </si>
  <si>
    <t>Tomato 36 (ult)</t>
  </si>
  <si>
    <t>Tomato 37 (izq)</t>
  </si>
  <si>
    <t>Tomato 38 (der)</t>
  </si>
  <si>
    <t>*Tomato deformation</t>
  </si>
  <si>
    <t>Tomato 47</t>
  </si>
  <si>
    <t>Tomato 48</t>
  </si>
  <si>
    <t>Tomato 34 (ult)</t>
  </si>
  <si>
    <t>Tomato 35 (der)</t>
  </si>
  <si>
    <t>Tomato 36 (izq)</t>
  </si>
  <si>
    <t>Tomato 49</t>
  </si>
  <si>
    <t>"L26" PLANT</t>
  </si>
  <si>
    <t>PLANT L26</t>
  </si>
  <si>
    <t>Tomato 37 (der)</t>
  </si>
  <si>
    <t>Tomato 46 (ult izq)</t>
  </si>
  <si>
    <t>Tomato 47 (der)</t>
  </si>
  <si>
    <t>Tomato 48 (izq)</t>
  </si>
  <si>
    <t>Tomato 50</t>
  </si>
  <si>
    <t>Tomato 45 (ult izq)</t>
  </si>
  <si>
    <t>Tomato 46 (der)</t>
  </si>
  <si>
    <t>Tomato 47 (izq)</t>
  </si>
  <si>
    <t>Tomato 48 (der)</t>
  </si>
  <si>
    <t>Tomato 38 (ult izq)</t>
  </si>
  <si>
    <t>Tomato 39 (der)</t>
  </si>
  <si>
    <t>Tomato 40 (izq)</t>
  </si>
  <si>
    <t>Tomato 38 (izq)</t>
  </si>
  <si>
    <t>Tomato 44 (ult)</t>
  </si>
  <si>
    <t>Tomato 45 (der)</t>
  </si>
  <si>
    <t>Tomato 46 (izq)</t>
  </si>
  <si>
    <t>Tomato 49 (ult)</t>
  </si>
  <si>
    <t>Tomato 50 (izq)</t>
  </si>
  <si>
    <t>Tomato 51 (der)</t>
  </si>
  <si>
    <t>Tomato 52</t>
  </si>
  <si>
    <t>Tomato 53</t>
  </si>
  <si>
    <t>Tomato 47 (izq atrás)</t>
  </si>
  <si>
    <t>Tomato 43 (ult)</t>
  </si>
  <si>
    <t>Tomato 44 (izq)</t>
  </si>
  <si>
    <t>Tomato 1 (ult medio)</t>
  </si>
  <si>
    <t>Tomato 37 (izq ult)</t>
  </si>
  <si>
    <t>Tomato 39 (izq atrás)</t>
  </si>
  <si>
    <t>Tomato 39 (der atrás)</t>
  </si>
  <si>
    <t>Tomato 42 (ult)</t>
  </si>
  <si>
    <t>Tomato 43 (der)</t>
  </si>
  <si>
    <t>Tomato 41 (ult)</t>
  </si>
  <si>
    <t>Tomato 42 (der atrás)</t>
  </si>
  <si>
    <t>Tomato 51 (ult)</t>
  </si>
  <si>
    <t>Tomato 52 (izq)</t>
  </si>
  <si>
    <t>Tomato 53 (izq atrás)</t>
  </si>
  <si>
    <t>Tomato 54</t>
  </si>
  <si>
    <t>Tomato 55</t>
  </si>
  <si>
    <t>Tomato 43 (ult izq)</t>
  </si>
  <si>
    <t>Tomato 44 (der)</t>
  </si>
  <si>
    <t>Tomato 45 (izq atrás)</t>
  </si>
  <si>
    <t>Tomato 41 (ult der)</t>
  </si>
  <si>
    <t>Tomato 42 (izq)</t>
  </si>
  <si>
    <t>Tomato 50 (ult)</t>
  </si>
  <si>
    <t>Tomato 51 (izq)</t>
  </si>
  <si>
    <t>Tomato 52 (der)</t>
  </si>
  <si>
    <t>Tomato 45 (ult der)</t>
  </si>
  <si>
    <t>Tomato 47 (der atrás)</t>
  </si>
  <si>
    <t>Tomato 42 (der)</t>
  </si>
  <si>
    <t>Tomato 43 (izq)</t>
  </si>
  <si>
    <t>Tomato 32 (ult der)</t>
  </si>
  <si>
    <t>Tomato 33 (izq)</t>
  </si>
  <si>
    <t>Tomato 34 (izq atrás)</t>
  </si>
  <si>
    <t>Tomato 43 (ult 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</si>
</sst>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62">
    <xf numFmtId="0" fontId="0" fillId="0" borderId="0" xfId="0"/>
    <xf numFmtId="0" fontId="5" fillId="0" borderId="0" xfId="0" applyFont="1"/>
    <xf numFmtId="0" fontId="6" fillId="0" borderId="0" xfId="1" applyFont="1" applyBorder="1"/>
    <xf numFmtId="0" fontId="7" fillId="0" borderId="0" xfId="2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4" xfId="0" applyFont="1" applyFill="1" applyBorder="1"/>
    <xf numFmtId="0" fontId="0" fillId="3" borderId="35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5" borderId="8" xfId="0" applyFill="1" applyBorder="1"/>
    <xf numFmtId="0" fontId="0" fillId="5" borderId="36" xfId="0" applyFill="1" applyBorder="1"/>
    <xf numFmtId="0" fontId="0" fillId="6" borderId="11" xfId="0" applyFill="1" applyBorder="1"/>
    <xf numFmtId="0" fontId="0" fillId="6" borderId="38" xfId="0" applyFill="1" applyBorder="1"/>
    <xf numFmtId="0" fontId="0" fillId="5" borderId="23" xfId="0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0" fillId="0" borderId="0" xfId="0" applyFont="1" applyBorder="1"/>
    <xf numFmtId="0" fontId="0" fillId="7" borderId="0" xfId="0" applyFill="1"/>
    <xf numFmtId="0" fontId="0" fillId="3" borderId="21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9" fillId="0" borderId="0" xfId="0" applyFont="1"/>
    <xf numFmtId="0" fontId="0" fillId="0" borderId="8" xfId="0" applyFont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14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3" borderId="5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0" fillId="3" borderId="8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ill="1"/>
    <xf numFmtId="0" fontId="0" fillId="0" borderId="0" xfId="0" applyNumberFormat="1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6" borderId="0" xfId="0" applyFill="1"/>
    <xf numFmtId="0" fontId="0" fillId="5" borderId="8" xfId="0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0" fillId="0" borderId="41" xfId="0" applyNumberFormat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NumberFormat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41" xfId="0" applyNumberFormat="1" applyBorder="1" applyAlignment="1">
      <alignment horizontal="center"/>
    </xf>
    <xf numFmtId="0" fontId="0" fillId="0" borderId="26" xfId="0" applyNumberFormat="1" applyFont="1" applyBorder="1" applyAlignment="1">
      <alignment horizontal="center"/>
    </xf>
    <xf numFmtId="0" fontId="0" fillId="0" borderId="40" xfId="0" applyNumberFormat="1" applyBorder="1"/>
    <xf numFmtId="0" fontId="0" fillId="0" borderId="26" xfId="0" applyFont="1" applyBorder="1" applyAlignment="1">
      <alignment horizontal="center"/>
    </xf>
  </cellXfs>
  <cellStyles count="3">
    <cellStyle name="Normale" xfId="0" builtinId="0"/>
    <cellStyle name="Titolo 1" xfId="1" builtinId="16"/>
    <cellStyle name="Titolo 3" xfId="2" builtinId="18"/>
  </cellStyles>
  <dxfs count="987"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</dxfs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6952" displayName="Tabla26952" ref="A6:H44" totalsRowShown="0">
  <tableColumns count="8">
    <tableColumn id="1" xr3:uid="{00000000-0010-0000-0000-000001000000}" name="&quot;C1&quot; PLANT" dataDxfId="986"/>
    <tableColumn id="2" xr3:uid="{00000000-0010-0000-0000-000002000000}" name="Height (mm)" dataDxfId="985"/>
    <tableColumn id="3" xr3:uid="{00000000-0010-0000-0000-000003000000}" name="Width (mm)" dataDxfId="984"/>
    <tableColumn id="4" xr3:uid="{00000000-0010-0000-0000-000004000000}" name="Weight (g)" dataDxfId="983"/>
    <tableColumn id="5" xr3:uid="{00000000-0010-0000-0000-000005000000}" name="Cluster number " dataDxfId="982"/>
    <tableColumn id="6" xr3:uid="{00000000-0010-0000-0000-000006000000}" name="Color" dataDxfId="981"/>
    <tableColumn id="7" xr3:uid="{00000000-0010-0000-0000-000007000000}" name="Total cluster weight (g)" dataDxfId="980"/>
    <tableColumn id="8" xr3:uid="{00000000-0010-0000-0000-000008000000}" name="Tomato average weight per cluster" dataDxfId="979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2691361" displayName="Tabla2691361" ref="A446:H491" totalsRowShown="0">
  <autoFilter ref="A446:H491" xr:uid="{00000000-0009-0000-0100-00000A000000}"/>
  <tableColumns count="8">
    <tableColumn id="1" xr3:uid="{00000000-0010-0000-0900-000001000000}" name="&quot;C10&quot; PLANT" dataDxfId="914"/>
    <tableColumn id="2" xr3:uid="{00000000-0010-0000-0900-000002000000}" name="Height (mm)" dataDxfId="913"/>
    <tableColumn id="3" xr3:uid="{00000000-0010-0000-0900-000003000000}" name="Width (mm)" dataDxfId="912"/>
    <tableColumn id="4" xr3:uid="{00000000-0010-0000-0900-000004000000}" name="Weight (g)" dataDxfId="911"/>
    <tableColumn id="5" xr3:uid="{00000000-0010-0000-0900-000005000000}" name="Cluster number " dataDxfId="910"/>
    <tableColumn id="6" xr3:uid="{00000000-0010-0000-0900-000006000000}" name="Color" dataDxfId="909"/>
    <tableColumn id="7" xr3:uid="{00000000-0010-0000-0900-000007000000}" name="Total cluster weight (g)" dataDxfId="908"/>
    <tableColumn id="8" xr3:uid="{00000000-0010-0000-0900-000008000000}" name="Tomato average weight per cluster" dataDxfId="907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2691462" displayName="Tabla2691462" ref="A496:H532" totalsRowShown="0">
  <autoFilter ref="A496:H532" xr:uid="{00000000-0009-0000-0100-00000B000000}"/>
  <tableColumns count="8">
    <tableColumn id="1" xr3:uid="{00000000-0010-0000-0A00-000001000000}" name="&quot;C11&quot; PLANT" dataDxfId="906"/>
    <tableColumn id="2" xr3:uid="{00000000-0010-0000-0A00-000002000000}" name="Height (mm)" dataDxfId="905"/>
    <tableColumn id="3" xr3:uid="{00000000-0010-0000-0A00-000003000000}" name="Width (mm)" dataDxfId="904"/>
    <tableColumn id="4" xr3:uid="{00000000-0010-0000-0A00-000004000000}" name="Weight (g)" dataDxfId="903"/>
    <tableColumn id="5" xr3:uid="{00000000-0010-0000-0A00-000005000000}" name="Cluster number " dataDxfId="902"/>
    <tableColumn id="6" xr3:uid="{00000000-0010-0000-0A00-000006000000}" name="Color" dataDxfId="901"/>
    <tableColumn id="7" xr3:uid="{00000000-0010-0000-0A00-000007000000}" name="Total cluster weight (g)" dataDxfId="900"/>
    <tableColumn id="8" xr3:uid="{00000000-0010-0000-0A00-000008000000}" name="Tomato average weight per cluster" dataDxfId="899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2691563" displayName="Tabla2691563" ref="A537:H580" totalsRowShown="0">
  <autoFilter ref="A537:H580" xr:uid="{00000000-0009-0000-0100-00000C000000}"/>
  <tableColumns count="8">
    <tableColumn id="1" xr3:uid="{00000000-0010-0000-0B00-000001000000}" name="&quot;C12&quot; PLANT" dataDxfId="898"/>
    <tableColumn id="2" xr3:uid="{00000000-0010-0000-0B00-000002000000}" name="Height (mm)" dataDxfId="897"/>
    <tableColumn id="3" xr3:uid="{00000000-0010-0000-0B00-000003000000}" name="Width (mm)" dataDxfId="896"/>
    <tableColumn id="4" xr3:uid="{00000000-0010-0000-0B00-000004000000}" name="Weight (g)" dataDxfId="895"/>
    <tableColumn id="5" xr3:uid="{00000000-0010-0000-0B00-000005000000}" name="Cluster number " dataDxfId="894"/>
    <tableColumn id="6" xr3:uid="{00000000-0010-0000-0B00-000006000000}" name="Color" dataDxfId="893"/>
    <tableColumn id="7" xr3:uid="{00000000-0010-0000-0B00-000007000000}" name="Total cluster weight (g)" dataDxfId="892"/>
    <tableColumn id="8" xr3:uid="{00000000-0010-0000-0B00-000008000000}" name="Tomato average weight per cluster" dataDxfId="891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a2691664" displayName="Tabla2691664" ref="A585:H632" totalsRowShown="0">
  <autoFilter ref="A585:H632" xr:uid="{00000000-0009-0000-0100-00000D000000}"/>
  <tableColumns count="8">
    <tableColumn id="1" xr3:uid="{00000000-0010-0000-0C00-000001000000}" name="&quot;C13&quot; PLANT" dataDxfId="890"/>
    <tableColumn id="2" xr3:uid="{00000000-0010-0000-0C00-000002000000}" name="Height (mm)" dataDxfId="889"/>
    <tableColumn id="3" xr3:uid="{00000000-0010-0000-0C00-000003000000}" name="Width (mm)" dataDxfId="888"/>
    <tableColumn id="4" xr3:uid="{00000000-0010-0000-0C00-000004000000}" name="Weight (g)" dataDxfId="887"/>
    <tableColumn id="5" xr3:uid="{00000000-0010-0000-0C00-000005000000}" name="Cluster number " dataDxfId="886"/>
    <tableColumn id="6" xr3:uid="{00000000-0010-0000-0C00-000006000000}" name="Color" dataDxfId="885"/>
    <tableColumn id="7" xr3:uid="{00000000-0010-0000-0C00-000007000000}" name="Total cluster weight (g)" dataDxfId="884"/>
    <tableColumn id="8" xr3:uid="{00000000-0010-0000-0C00-000008000000}" name="Tomato average weight per cluster" dataDxfId="883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269161765" displayName="Tabla269161765" ref="A637:H674" totalsRowShown="0">
  <autoFilter ref="A637:H674" xr:uid="{00000000-0009-0000-0100-00000E000000}"/>
  <tableColumns count="8">
    <tableColumn id="1" xr3:uid="{00000000-0010-0000-0D00-000001000000}" name="&quot;C14&quot; PLANT" dataDxfId="882"/>
    <tableColumn id="2" xr3:uid="{00000000-0010-0000-0D00-000002000000}" name="Height (mm)" dataDxfId="881"/>
    <tableColumn id="3" xr3:uid="{00000000-0010-0000-0D00-000003000000}" name="Width (mm)" dataDxfId="880"/>
    <tableColumn id="4" xr3:uid="{00000000-0010-0000-0D00-000004000000}" name="Weight (g)" dataDxfId="879"/>
    <tableColumn id="5" xr3:uid="{00000000-0010-0000-0D00-000005000000}" name="Cluster number " dataDxfId="878"/>
    <tableColumn id="6" xr3:uid="{00000000-0010-0000-0D00-000006000000}" name="Color" dataDxfId="877"/>
    <tableColumn id="7" xr3:uid="{00000000-0010-0000-0D00-000007000000}" name="Total cluster weight (g)" dataDxfId="876"/>
    <tableColumn id="8" xr3:uid="{00000000-0010-0000-0D00-000008000000}" name="Tomato average weight per cluster" dataDxfId="875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a269161866" displayName="Tabla269161866" ref="A679:H729" totalsRowShown="0">
  <autoFilter ref="A679:H729" xr:uid="{00000000-0009-0000-0100-00000F000000}"/>
  <tableColumns count="8">
    <tableColumn id="1" xr3:uid="{00000000-0010-0000-0E00-000001000000}" name="&quot;C15&quot; PLANT" dataDxfId="874"/>
    <tableColumn id="2" xr3:uid="{00000000-0010-0000-0E00-000002000000}" name="Height (mm)" dataDxfId="873"/>
    <tableColumn id="3" xr3:uid="{00000000-0010-0000-0E00-000003000000}" name="Width (mm)" dataDxfId="872"/>
    <tableColumn id="4" xr3:uid="{00000000-0010-0000-0E00-000004000000}" name="Weight (g)" dataDxfId="871"/>
    <tableColumn id="5" xr3:uid="{00000000-0010-0000-0E00-000005000000}" name="Cluster number " dataDxfId="870"/>
    <tableColumn id="6" xr3:uid="{00000000-0010-0000-0E00-000006000000}" name="Color" dataDxfId="869"/>
    <tableColumn id="7" xr3:uid="{00000000-0010-0000-0E00-000007000000}" name="Total cluster weight (g)" dataDxfId="868"/>
    <tableColumn id="8" xr3:uid="{00000000-0010-0000-0E00-000008000000}" name="Tomato average weight per cluster" dataDxfId="867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a269161967" displayName="Tabla269161967" ref="A734:H777" totalsRowShown="0">
  <autoFilter ref="A734:H777" xr:uid="{00000000-0009-0000-0100-000010000000}"/>
  <tableColumns count="8">
    <tableColumn id="1" xr3:uid="{00000000-0010-0000-0F00-000001000000}" name="&quot;C16&quot; PLANT" dataDxfId="866"/>
    <tableColumn id="2" xr3:uid="{00000000-0010-0000-0F00-000002000000}" name="Height (mm)" dataDxfId="865"/>
    <tableColumn id="3" xr3:uid="{00000000-0010-0000-0F00-000003000000}" name="Width (mm)" dataDxfId="864"/>
    <tableColumn id="4" xr3:uid="{00000000-0010-0000-0F00-000004000000}" name="Weight (g)" dataDxfId="863"/>
    <tableColumn id="5" xr3:uid="{00000000-0010-0000-0F00-000005000000}" name="Cluster number " dataDxfId="862"/>
    <tableColumn id="6" xr3:uid="{00000000-0010-0000-0F00-000006000000}" name="Color" dataDxfId="861"/>
    <tableColumn id="7" xr3:uid="{00000000-0010-0000-0F00-000007000000}" name="Total cluster weight (g)" dataDxfId="860"/>
    <tableColumn id="8" xr3:uid="{00000000-0010-0000-0F00-000008000000}" name="Tomato average weight per cluster" dataDxfId="859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a269162068" displayName="Tabla269162068" ref="A782:H821" totalsRowShown="0">
  <autoFilter ref="A782:H821" xr:uid="{00000000-0009-0000-0100-000011000000}"/>
  <tableColumns count="8">
    <tableColumn id="1" xr3:uid="{00000000-0010-0000-1000-000001000000}" name="&quot;C17&quot; PLANT" dataDxfId="858"/>
    <tableColumn id="2" xr3:uid="{00000000-0010-0000-1000-000002000000}" name="Height (mm)" dataDxfId="857"/>
    <tableColumn id="3" xr3:uid="{00000000-0010-0000-1000-000003000000}" name="Width (mm)" dataDxfId="856"/>
    <tableColumn id="4" xr3:uid="{00000000-0010-0000-1000-000004000000}" name="Weight (g)" dataDxfId="855"/>
    <tableColumn id="5" xr3:uid="{00000000-0010-0000-1000-000005000000}" name="Cluster number " dataDxfId="854"/>
    <tableColumn id="6" xr3:uid="{00000000-0010-0000-1000-000006000000}" name="Color" dataDxfId="853"/>
    <tableColumn id="7" xr3:uid="{00000000-0010-0000-1000-000007000000}" name="Total cluster weight (g)" dataDxfId="852"/>
    <tableColumn id="8" xr3:uid="{00000000-0010-0000-1000-000008000000}" name="Tomato average weight per cluster" dataDxfId="851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a269162169" displayName="Tabla269162169" ref="A826:H874" totalsRowShown="0">
  <autoFilter ref="A826:H874" xr:uid="{00000000-0009-0000-0100-000012000000}"/>
  <tableColumns count="8">
    <tableColumn id="1" xr3:uid="{00000000-0010-0000-1100-000001000000}" name="&quot;C18&quot; PLANT" dataDxfId="850"/>
    <tableColumn id="2" xr3:uid="{00000000-0010-0000-1100-000002000000}" name="Height (mm)" dataDxfId="849"/>
    <tableColumn id="3" xr3:uid="{00000000-0010-0000-1100-000003000000}" name="Width (mm)" dataDxfId="848"/>
    <tableColumn id="4" xr3:uid="{00000000-0010-0000-1100-000004000000}" name="Weight (g)" dataDxfId="847"/>
    <tableColumn id="5" xr3:uid="{00000000-0010-0000-1100-000005000000}" name="Cluster number " dataDxfId="846"/>
    <tableColumn id="6" xr3:uid="{00000000-0010-0000-1100-000006000000}" name="Color" dataDxfId="845"/>
    <tableColumn id="7" xr3:uid="{00000000-0010-0000-1100-000007000000}" name="Total cluster weight (g)" dataDxfId="844"/>
    <tableColumn id="8" xr3:uid="{00000000-0010-0000-1100-000008000000}" name="Tomato average weight per cluster" dataDxfId="843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a269162270" displayName="Tabla269162270" ref="A879:H924" totalsRowShown="0">
  <autoFilter ref="A879:H924" xr:uid="{00000000-0009-0000-0100-000013000000}"/>
  <tableColumns count="8">
    <tableColumn id="1" xr3:uid="{00000000-0010-0000-1200-000001000000}" name="&quot;C19&quot; PLANT" dataDxfId="842"/>
    <tableColumn id="2" xr3:uid="{00000000-0010-0000-1200-000002000000}" name="Height (mm)" dataDxfId="841"/>
    <tableColumn id="3" xr3:uid="{00000000-0010-0000-1200-000003000000}" name="Width (mm)" dataDxfId="840"/>
    <tableColumn id="4" xr3:uid="{00000000-0010-0000-1200-000004000000}" name="Weight (g)" dataDxfId="839"/>
    <tableColumn id="5" xr3:uid="{00000000-0010-0000-1200-000005000000}" name="Cluster number " dataDxfId="838"/>
    <tableColumn id="6" xr3:uid="{00000000-0010-0000-1200-000006000000}" name="Color" dataDxfId="837"/>
    <tableColumn id="7" xr3:uid="{00000000-0010-0000-1200-000007000000}" name="Total cluster weight (g)" dataDxfId="836"/>
    <tableColumn id="8" xr3:uid="{00000000-0010-0000-1200-000008000000}" name="Tomato average weight per cluster" dataDxfId="835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69553" displayName="Tabla269553" ref="A49:H94" totalsRowShown="0">
  <autoFilter ref="A49:H94" xr:uid="{00000000-0009-0000-0100-000002000000}"/>
  <tableColumns count="8">
    <tableColumn id="1" xr3:uid="{00000000-0010-0000-0100-000001000000}" name="&quot;C2&quot; PLANT" dataDxfId="978"/>
    <tableColumn id="2" xr3:uid="{00000000-0010-0000-0100-000002000000}" name="Height (mm)" dataDxfId="977"/>
    <tableColumn id="3" xr3:uid="{00000000-0010-0000-0100-000003000000}" name="Width (mm)" dataDxfId="976"/>
    <tableColumn id="4" xr3:uid="{00000000-0010-0000-0100-000004000000}" name="Weight (g)" dataDxfId="975"/>
    <tableColumn id="5" xr3:uid="{00000000-0010-0000-0100-000005000000}" name="Cluster number " dataDxfId="974"/>
    <tableColumn id="6" xr3:uid="{00000000-0010-0000-0100-000006000000}" name="Color" dataDxfId="973"/>
    <tableColumn id="7" xr3:uid="{00000000-0010-0000-0100-000007000000}" name="Total cluster weight (g)" dataDxfId="972"/>
    <tableColumn id="8" xr3:uid="{00000000-0010-0000-0100-000008000000}" name="Tomato average weight per cluster" dataDxfId="971">
      <calculatedColumnFormula>Tabla269553[[#This Row],[Total cluster weight (g)]]/COUNTA(A46:A50)</calculatedColumnFormula>
    </tableColumn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a269162371" displayName="Tabla269162371" ref="A929:H955" totalsRowShown="0">
  <autoFilter ref="A929:H955" xr:uid="{00000000-0009-0000-0100-000014000000}"/>
  <tableColumns count="8">
    <tableColumn id="1" xr3:uid="{00000000-0010-0000-1300-000001000000}" name="&quot;C20&quot; PLANT" dataDxfId="834"/>
    <tableColumn id="2" xr3:uid="{00000000-0010-0000-1300-000002000000}" name="Height (mm)" dataDxfId="833"/>
    <tableColumn id="3" xr3:uid="{00000000-0010-0000-1300-000003000000}" name="Width (mm)" dataDxfId="832"/>
    <tableColumn id="4" xr3:uid="{00000000-0010-0000-1300-000004000000}" name="Weight (g)" dataDxfId="831"/>
    <tableColumn id="5" xr3:uid="{00000000-0010-0000-1300-000005000000}" name="Cluster number " dataDxfId="830"/>
    <tableColumn id="6" xr3:uid="{00000000-0010-0000-1300-000006000000}" name="Color" dataDxfId="829"/>
    <tableColumn id="7" xr3:uid="{00000000-0010-0000-1300-000007000000}" name="Total cluster weight (g)" dataDxfId="828"/>
    <tableColumn id="8" xr3:uid="{00000000-0010-0000-1300-000008000000}" name="Tomato average weight per cluster" dataDxfId="827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a269162472" displayName="Tabla269162472" ref="A960:H1001" totalsRowShown="0">
  <autoFilter ref="A960:H1001" xr:uid="{00000000-0009-0000-0100-000015000000}"/>
  <tableColumns count="8">
    <tableColumn id="1" xr3:uid="{00000000-0010-0000-1400-000001000000}" name="&quot;C21&quot; PLANT" dataDxfId="826"/>
    <tableColumn id="2" xr3:uid="{00000000-0010-0000-1400-000002000000}" name="Height (mm)" dataDxfId="825"/>
    <tableColumn id="3" xr3:uid="{00000000-0010-0000-1400-000003000000}" name="Width (mm)" dataDxfId="824"/>
    <tableColumn id="4" xr3:uid="{00000000-0010-0000-1400-000004000000}" name="Weight (g)" dataDxfId="823"/>
    <tableColumn id="5" xr3:uid="{00000000-0010-0000-1400-000005000000}" name="Cluster number " dataDxfId="822"/>
    <tableColumn id="6" xr3:uid="{00000000-0010-0000-1400-000006000000}" name="Color" dataDxfId="821"/>
    <tableColumn id="7" xr3:uid="{00000000-0010-0000-1400-000007000000}" name="Total cluster weight (g)" dataDxfId="820"/>
    <tableColumn id="8" xr3:uid="{00000000-0010-0000-1400-000008000000}" name="Tomato average weight per cluster" dataDxfId="819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a269162573" displayName="Tabla269162573" ref="A1006:H1044" totalsRowShown="0">
  <autoFilter ref="A1006:H1044" xr:uid="{00000000-0009-0000-0100-000016000000}"/>
  <tableColumns count="8">
    <tableColumn id="1" xr3:uid="{00000000-0010-0000-1500-000001000000}" name="&quot;C22&quot; PLANT" dataDxfId="818"/>
    <tableColumn id="2" xr3:uid="{00000000-0010-0000-1500-000002000000}" name="Height (mm)" dataDxfId="817"/>
    <tableColumn id="3" xr3:uid="{00000000-0010-0000-1500-000003000000}" name="Width (mm)" dataDxfId="816"/>
    <tableColumn id="4" xr3:uid="{00000000-0010-0000-1500-000004000000}" name="Weight (g)" dataDxfId="815"/>
    <tableColumn id="5" xr3:uid="{00000000-0010-0000-1500-000005000000}" name="Cluster number " dataDxfId="814"/>
    <tableColumn id="6" xr3:uid="{00000000-0010-0000-1500-000006000000}" name="Color" dataDxfId="813"/>
    <tableColumn id="7" xr3:uid="{00000000-0010-0000-1500-000007000000}" name="Total cluster weight (g)" dataDxfId="812"/>
    <tableColumn id="8" xr3:uid="{00000000-0010-0000-1500-000008000000}" name="Tomato average weight per cluster" dataDxfId="811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16000000}" name="Tabla70" displayName="Tabla70" ref="A46:G47" totalsRowShown="0" headerRowDxfId="810" dataDxfId="808" headerRowBorderDxfId="809" tableBorderDxfId="807" totalsRowBorderDxfId="806">
  <autoFilter ref="A46:G47" xr:uid="{00000000-0009-0000-0100-000046000000}"/>
  <tableColumns count="7">
    <tableColumn id="1" xr3:uid="{00000000-0010-0000-1600-000001000000}" name="PLANT C1" dataDxfId="805"/>
    <tableColumn id="2" xr3:uid="{00000000-0010-0000-1600-000002000000}" name="Average  height (mm)" dataDxfId="804"/>
    <tableColumn id="3" xr3:uid="{00000000-0010-0000-1600-000003000000}" name="Average width (mm)" dataDxfId="803">
      <calculatedColumnFormula>AVERAGE(Tabla26952[Width (mm)])</calculatedColumnFormula>
    </tableColumn>
    <tableColumn id="4" xr3:uid="{00000000-0010-0000-1600-000004000000}" name="Total clusters number" dataDxfId="802">
      <calculatedColumnFormula>MAX(Tabla26952[[Cluster number ]])</calculatedColumnFormula>
    </tableColumn>
    <tableColumn id="5" xr3:uid="{00000000-0010-0000-1600-000005000000}" name="Tomato average weight per plant" dataDxfId="801">
      <calculatedColumnFormula>AVERAGE(Tabla26952[Tomato average weight per cluster])</calculatedColumnFormula>
    </tableColumn>
    <tableColumn id="6" xr3:uid="{00000000-0010-0000-1600-000006000000}" name="Total number of tomatoes " dataDxfId="800">
      <calculatedColumnFormula>COUNTA(Tabla26952["C1" PLANT])</calculatedColumnFormula>
    </tableColumn>
    <tableColumn id="7" xr3:uid="{00000000-0010-0000-1600-000007000000}" name="Total weight (g)" dataDxfId="799">
      <calculatedColumnFormula>SUM(Tabla26952[Total cluster weight (g)])</calculatedColumnFormula>
    </tableColumn>
  </tableColumns>
  <tableStyleInfo name="TableStyleMedium2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17000000}" name="Tabla7072" displayName="Tabla7072" ref="A96:G97" totalsRowShown="0" headerRowDxfId="798" dataDxfId="796" headerRowBorderDxfId="797" tableBorderDxfId="795" totalsRowBorderDxfId="794">
  <autoFilter ref="A96:G97" xr:uid="{00000000-0009-0000-0100-000047000000}"/>
  <tableColumns count="7">
    <tableColumn id="1" xr3:uid="{00000000-0010-0000-1700-000001000000}" name="PLANT C2" dataDxfId="793"/>
    <tableColumn id="2" xr3:uid="{00000000-0010-0000-1700-000002000000}" name="Average  height (mm)" dataDxfId="792">
      <calculatedColumnFormula>AVERAGE(Tabla269553[Height (mm)])</calculatedColumnFormula>
    </tableColumn>
    <tableColumn id="3" xr3:uid="{00000000-0010-0000-1700-000003000000}" name="Average width (mm)" dataDxfId="791">
      <calculatedColumnFormula>AVERAGE(Tabla269553[Width (mm)])</calculatedColumnFormula>
    </tableColumn>
    <tableColumn id="4" xr3:uid="{00000000-0010-0000-1700-000004000000}" name="Total clusters number" dataDxfId="790">
      <calculatedColumnFormula>MAX(Tabla269553[[Cluster number ]])</calculatedColumnFormula>
    </tableColumn>
    <tableColumn id="5" xr3:uid="{00000000-0010-0000-1700-000005000000}" name="Tomato average weight per plant" dataDxfId="789">
      <calculatedColumnFormula>AVERAGE(Tabla269553[Tomato average weight per cluster])</calculatedColumnFormula>
    </tableColumn>
    <tableColumn id="6" xr3:uid="{00000000-0010-0000-1700-000006000000}" name="Total number of tomatoes " dataDxfId="788">
      <calculatedColumnFormula>COUNTA(Tabla269553["C2" PLANT])</calculatedColumnFormula>
    </tableColumn>
    <tableColumn id="7" xr3:uid="{00000000-0010-0000-1700-000007000000}" name="Total weight (g)" dataDxfId="787">
      <calculatedColumnFormula>SUM(Tabla269553[Total cluster weight (g)])</calculatedColumnFormula>
    </tableColumn>
  </tableColumns>
  <tableStyleInfo name="TableStyleMedium2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18000000}" name="Tabla7073" displayName="Tabla7073" ref="A151:G152" totalsRowShown="0" headerRowDxfId="786" dataDxfId="784" headerRowBorderDxfId="785" tableBorderDxfId="783" totalsRowBorderDxfId="782">
  <autoFilter ref="A151:G152" xr:uid="{00000000-0009-0000-0100-000048000000}"/>
  <tableColumns count="7">
    <tableColumn id="1" xr3:uid="{00000000-0010-0000-1800-000001000000}" name="PLANT C3" dataDxfId="781"/>
    <tableColumn id="2" xr3:uid="{00000000-0010-0000-1800-000002000000}" name="Average  height (mm)" dataDxfId="780">
      <calculatedColumnFormula>AVERAGE(Tabla269654[Height (mm)])</calculatedColumnFormula>
    </tableColumn>
    <tableColumn id="3" xr3:uid="{00000000-0010-0000-1800-000003000000}" name="Average width (mm)" dataDxfId="779">
      <calculatedColumnFormula>AVERAGE(Tabla269654[Width (mm)])</calculatedColumnFormula>
    </tableColumn>
    <tableColumn id="4" xr3:uid="{00000000-0010-0000-1800-000004000000}" name="Total clusters number" dataDxfId="778">
      <calculatedColumnFormula>MAX(Tabla269654[[Cluster number ]])</calculatedColumnFormula>
    </tableColumn>
    <tableColumn id="5" xr3:uid="{00000000-0010-0000-1800-000005000000}" name="Tomato average weight per plant" dataDxfId="777">
      <calculatedColumnFormula>AVERAGE(Tabla269654[Tomato average weight per cluster])</calculatedColumnFormula>
    </tableColumn>
    <tableColumn id="6" xr3:uid="{00000000-0010-0000-1800-000006000000}" name="Total number of tomatoes " dataDxfId="776">
      <calculatedColumnFormula>COUNTA(Tabla269654["C3" PLANT])</calculatedColumnFormula>
    </tableColumn>
    <tableColumn id="7" xr3:uid="{00000000-0010-0000-1800-000007000000}" name="Total weight (g)" dataDxfId="775">
      <calculatedColumnFormula>SUM(Tabla269654[Total cluster weight (g)])</calculatedColumnFormula>
    </tableColumn>
  </tableColumns>
  <tableStyleInfo name="TableStyleMedium2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19000000}" name="Tabla7074" displayName="Tabla7074" ref="A199:G200" totalsRowShown="0" headerRowDxfId="774" dataDxfId="772" headerRowBorderDxfId="773" tableBorderDxfId="771" totalsRowBorderDxfId="770">
  <autoFilter ref="A199:G200" xr:uid="{00000000-0009-0000-0100-000049000000}"/>
  <tableColumns count="7">
    <tableColumn id="1" xr3:uid="{00000000-0010-0000-1900-000001000000}" name="PLANT C4" dataDxfId="769"/>
    <tableColumn id="2" xr3:uid="{00000000-0010-0000-1900-000002000000}" name="Average  height (mm)" dataDxfId="768">
      <calculatedColumnFormula>AVERAGE(Tabla269755[Height (mm)])</calculatedColumnFormula>
    </tableColumn>
    <tableColumn id="3" xr3:uid="{00000000-0010-0000-1900-000003000000}" name="Average width (mm)" dataDxfId="767">
      <calculatedColumnFormula>AVERAGE(Tabla269755[Width (mm)])</calculatedColumnFormula>
    </tableColumn>
    <tableColumn id="4" xr3:uid="{00000000-0010-0000-1900-000004000000}" name="Total clusters number" dataDxfId="766">
      <calculatedColumnFormula>MAX(Tabla269755[[Cluster number ]])</calculatedColumnFormula>
    </tableColumn>
    <tableColumn id="5" xr3:uid="{00000000-0010-0000-1900-000005000000}" name="Tomato average weight per plant" dataDxfId="765">
      <calculatedColumnFormula>AVERAGE(Tabla269755[Tomato average weight per cluster])</calculatedColumnFormula>
    </tableColumn>
    <tableColumn id="6" xr3:uid="{00000000-0010-0000-1900-000006000000}" name="Total number of tomatoes " dataDxfId="764">
      <calculatedColumnFormula>COUNTA(Tabla269755["C4" PLANT])</calculatedColumnFormula>
    </tableColumn>
    <tableColumn id="7" xr3:uid="{00000000-0010-0000-1900-000007000000}" name="Total weight (g)" dataDxfId="763">
      <calculatedColumnFormula>SUM(Tabla269755[Total cluster weight (g)])</calculatedColumnFormula>
    </tableColumn>
  </tableColumns>
  <tableStyleInfo name="TableStyleMedium2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1A000000}" name="Tabla7076" displayName="Tabla7076" ref="A249:G250" totalsRowShown="0" headerRowDxfId="762" dataDxfId="760" headerRowBorderDxfId="761" tableBorderDxfId="759" totalsRowBorderDxfId="758">
  <autoFilter ref="A249:G250" xr:uid="{00000000-0009-0000-0100-00004B000000}"/>
  <tableColumns count="7">
    <tableColumn id="1" xr3:uid="{00000000-0010-0000-1A00-000001000000}" name="PLANT C5" dataDxfId="757"/>
    <tableColumn id="2" xr3:uid="{00000000-0010-0000-1A00-000002000000}" name="Average  height (mm)" dataDxfId="756">
      <calculatedColumnFormula>AVERAGE(Tabla269856[Height (mm)])</calculatedColumnFormula>
    </tableColumn>
    <tableColumn id="3" xr3:uid="{00000000-0010-0000-1A00-000003000000}" name="Average width (mm)" dataDxfId="755">
      <calculatedColumnFormula>AVERAGE(Tabla269856[Width (mm)])</calculatedColumnFormula>
    </tableColumn>
    <tableColumn id="4" xr3:uid="{00000000-0010-0000-1A00-000004000000}" name="Total clusters number" dataDxfId="754">
      <calculatedColumnFormula>MAX(Tabla269856[[Cluster number ]])</calculatedColumnFormula>
    </tableColumn>
    <tableColumn id="5" xr3:uid="{00000000-0010-0000-1A00-000005000000}" name="Tomato average weight per plant" dataDxfId="753">
      <calculatedColumnFormula>AVERAGE(Tabla269856[Tomato average weight per cluster])</calculatedColumnFormula>
    </tableColumn>
    <tableColumn id="6" xr3:uid="{00000000-0010-0000-1A00-000006000000}" name="Total number of tomatoes " dataDxfId="752">
      <calculatedColumnFormula>COUNTA(Tabla269856["C5" PLANT])</calculatedColumnFormula>
    </tableColumn>
    <tableColumn id="7" xr3:uid="{00000000-0010-0000-1A00-000007000000}" name="Total weight (g)" dataDxfId="751">
      <calculatedColumnFormula>SUM(Tabla269856[Total cluster weight (g)])</calculatedColumnFormula>
    </tableColumn>
  </tableColumns>
  <tableStyleInfo name="TableStyleMedium2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1B000000}" name="Tabla7077" displayName="Tabla7077" ref="A294:G295" totalsRowShown="0" headerRowDxfId="750" dataDxfId="748" headerRowBorderDxfId="749" tableBorderDxfId="747" totalsRowBorderDxfId="746">
  <autoFilter ref="A294:G295" xr:uid="{00000000-0009-0000-0100-00004C000000}"/>
  <tableColumns count="7">
    <tableColumn id="1" xr3:uid="{00000000-0010-0000-1B00-000001000000}" name="PLANT C6" dataDxfId="745"/>
    <tableColumn id="2" xr3:uid="{00000000-0010-0000-1B00-000002000000}" name="Average  height (mm)" dataDxfId="744">
      <calculatedColumnFormula>AVERAGE(Tabla269957[Height (mm)])</calculatedColumnFormula>
    </tableColumn>
    <tableColumn id="3" xr3:uid="{00000000-0010-0000-1B00-000003000000}" name="Average width (mm)" dataDxfId="743">
      <calculatedColumnFormula>AVERAGE(Tabla269957[Width (mm)])</calculatedColumnFormula>
    </tableColumn>
    <tableColumn id="4" xr3:uid="{00000000-0010-0000-1B00-000004000000}" name="Total clusters number" dataDxfId="742">
      <calculatedColumnFormula>MAX(Tabla269957[[Cluster number ]])</calculatedColumnFormula>
    </tableColumn>
    <tableColumn id="5" xr3:uid="{00000000-0010-0000-1B00-000005000000}" name="Tomato average weight per plant" dataDxfId="741">
      <calculatedColumnFormula>AVERAGE(Tabla269957[Tomato average weight per cluster])</calculatedColumnFormula>
    </tableColumn>
    <tableColumn id="6" xr3:uid="{00000000-0010-0000-1B00-000006000000}" name="Total number of tomatoes " dataDxfId="740">
      <calculatedColumnFormula>COUNTA(Tabla269957["C6" PLANT])</calculatedColumnFormula>
    </tableColumn>
    <tableColumn id="7" xr3:uid="{00000000-0010-0000-1B00-000007000000}" name="Total weight (g)" dataDxfId="739">
      <calculatedColumnFormula>SUM(Tabla269957[Total cluster weight (g)])</calculatedColumnFormula>
    </tableColumn>
  </tableColumns>
  <tableStyleInfo name="TableStyleMedium2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1C000000}" name="Tabla7078" displayName="Tabla7078" ref="A334:G335" totalsRowShown="0" headerRowDxfId="738" dataDxfId="736" headerRowBorderDxfId="737" tableBorderDxfId="735" totalsRowBorderDxfId="734">
  <autoFilter ref="A334:G335" xr:uid="{00000000-0009-0000-0100-00004D000000}"/>
  <tableColumns count="7">
    <tableColumn id="1" xr3:uid="{00000000-0010-0000-1C00-000001000000}" name="PLANT C7" dataDxfId="733"/>
    <tableColumn id="2" xr3:uid="{00000000-0010-0000-1C00-000002000000}" name="Average  height (mm)" dataDxfId="732">
      <calculatedColumnFormula>AVERAGE(Tabla2691058[Height (mm)])</calculatedColumnFormula>
    </tableColumn>
    <tableColumn id="3" xr3:uid="{00000000-0010-0000-1C00-000003000000}" name="Average width (mm)" dataDxfId="731">
      <calculatedColumnFormula>AVERAGE(Tabla2691058[Width (mm)])</calculatedColumnFormula>
    </tableColumn>
    <tableColumn id="4" xr3:uid="{00000000-0010-0000-1C00-000004000000}" name="Total clusters number" dataDxfId="730">
      <calculatedColumnFormula>MAX(Tabla2691058[[Cluster number ]])</calculatedColumnFormula>
    </tableColumn>
    <tableColumn id="5" xr3:uid="{00000000-0010-0000-1C00-000005000000}" name="Tomato average weight per plant" dataDxfId="729">
      <calculatedColumnFormula>AVERAGE(Tabla2691058[Tomato average weight per cluster])</calculatedColumnFormula>
    </tableColumn>
    <tableColumn id="6" xr3:uid="{00000000-0010-0000-1C00-000006000000}" name="Total number of tomatoes " dataDxfId="728">
      <calculatedColumnFormula>COUNTA(Tabla2691058["C7" PLANT])</calculatedColumnFormula>
    </tableColumn>
    <tableColumn id="7" xr3:uid="{00000000-0010-0000-1C00-000007000000}" name="Total weight (g)" dataDxfId="727">
      <calculatedColumnFormula>SUM(Tabla2691058[Total cluster weight (g)])</calculatedColumnFormula>
    </tableColumn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269654" displayName="Tabla269654" ref="A99:H149" totalsRowShown="0">
  <autoFilter ref="A99:H149" xr:uid="{00000000-0009-0000-0100-000003000000}"/>
  <tableColumns count="8">
    <tableColumn id="1" xr3:uid="{00000000-0010-0000-0200-000001000000}" name="&quot;C3&quot; PLANT" dataDxfId="970"/>
    <tableColumn id="2" xr3:uid="{00000000-0010-0000-0200-000002000000}" name="Height (mm)" dataDxfId="969"/>
    <tableColumn id="3" xr3:uid="{00000000-0010-0000-0200-000003000000}" name="Width (mm)" dataDxfId="968"/>
    <tableColumn id="4" xr3:uid="{00000000-0010-0000-0200-000004000000}" name="Weight (g)" dataDxfId="967"/>
    <tableColumn id="5" xr3:uid="{00000000-0010-0000-0200-000005000000}" name="Cluster number " dataDxfId="966"/>
    <tableColumn id="6" xr3:uid="{00000000-0010-0000-0200-000006000000}" name="Color" dataDxfId="965"/>
    <tableColumn id="7" xr3:uid="{00000000-0010-0000-0200-000007000000}" name="Total cluster weight (g)" dataDxfId="964"/>
    <tableColumn id="8" xr3:uid="{00000000-0010-0000-0200-000008000000}" name="Tomato average weight per cluster" dataDxfId="963"/>
  </tableColumns>
  <tableStyleInfo name="TableStyleMedium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1D000000}" name="Tabla7079" displayName="Tabla7079" ref="A388:G389" totalsRowShown="0" headerRowDxfId="726" dataDxfId="724" headerRowBorderDxfId="725" tableBorderDxfId="723" totalsRowBorderDxfId="722">
  <autoFilter ref="A388:G389" xr:uid="{00000000-0009-0000-0100-00004E000000}"/>
  <tableColumns count="7">
    <tableColumn id="1" xr3:uid="{00000000-0010-0000-1D00-000001000000}" name="PLANT C8" dataDxfId="721"/>
    <tableColumn id="2" xr3:uid="{00000000-0010-0000-1D00-000002000000}" name="Average  height (mm)" dataDxfId="720">
      <calculatedColumnFormula>AVERAGE(Tabla2691159[Height (mm)])</calculatedColumnFormula>
    </tableColumn>
    <tableColumn id="3" xr3:uid="{00000000-0010-0000-1D00-000003000000}" name="Average width (mm)" dataDxfId="719">
      <calculatedColumnFormula>AVERAGE(Tabla2691159[Width (mm)])</calculatedColumnFormula>
    </tableColumn>
    <tableColumn id="4" xr3:uid="{00000000-0010-0000-1D00-000004000000}" name="Total clusters number" dataDxfId="718">
      <calculatedColumnFormula>MAX(Tabla2691159[[Cluster number ]])</calculatedColumnFormula>
    </tableColumn>
    <tableColumn id="5" xr3:uid="{00000000-0010-0000-1D00-000005000000}" name="Tomato average weight per plant" dataDxfId="717">
      <calculatedColumnFormula>AVERAGE(Tabla2691159[Tomato average weight per cluster])</calculatedColumnFormula>
    </tableColumn>
    <tableColumn id="6" xr3:uid="{00000000-0010-0000-1D00-000006000000}" name="Total number of tomatoes " dataDxfId="716">
      <calculatedColumnFormula>COUNTA(Tabla2691159["C8" PLANT])</calculatedColumnFormula>
    </tableColumn>
    <tableColumn id="7" xr3:uid="{00000000-0010-0000-1D00-000007000000}" name="Total weight (g)" dataDxfId="715">
      <calculatedColumnFormula>SUM(Tabla2691159[Total cluster weight (g)])</calculatedColumnFormula>
    </tableColumn>
  </tableColumns>
  <tableStyleInfo name="TableStyleMedium2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1E000000}" name="Tabla7080" displayName="Tabla7080" ref="A443:G444" totalsRowShown="0" headerRowDxfId="714" dataDxfId="712" headerRowBorderDxfId="713" tableBorderDxfId="711" totalsRowBorderDxfId="710">
  <autoFilter ref="A443:G444" xr:uid="{00000000-0009-0000-0100-00004F000000}"/>
  <tableColumns count="7">
    <tableColumn id="1" xr3:uid="{00000000-0010-0000-1E00-000001000000}" name="PLANT C9" dataDxfId="709"/>
    <tableColumn id="2" xr3:uid="{00000000-0010-0000-1E00-000002000000}" name="Average  height (mm)" dataDxfId="708">
      <calculatedColumnFormula>AVERAGE(Tabla2691260[Height (mm)])</calculatedColumnFormula>
    </tableColumn>
    <tableColumn id="3" xr3:uid="{00000000-0010-0000-1E00-000003000000}" name="Average width (mm)" dataDxfId="707">
      <calculatedColumnFormula>AVERAGE(Tabla2691260[Width (mm)])</calculatedColumnFormula>
    </tableColumn>
    <tableColumn id="4" xr3:uid="{00000000-0010-0000-1E00-000004000000}" name="Total clusters number" dataDxfId="706">
      <calculatedColumnFormula>MAX(Tabla2691260[[Cluster number ]])</calculatedColumnFormula>
    </tableColumn>
    <tableColumn id="5" xr3:uid="{00000000-0010-0000-1E00-000005000000}" name="Tomato average weight per plant" dataDxfId="705">
      <calculatedColumnFormula>AVERAGE(Tabla2691260[Tomato average weight per cluster])</calculatedColumnFormula>
    </tableColumn>
    <tableColumn id="6" xr3:uid="{00000000-0010-0000-1E00-000006000000}" name="Total number of tomatoes " dataDxfId="704">
      <calculatedColumnFormula>COUNTA(Tabla2691260["C9" PLANT])</calculatedColumnFormula>
    </tableColumn>
    <tableColumn id="7" xr3:uid="{00000000-0010-0000-1E00-000007000000}" name="Total weight (g)" dataDxfId="703">
      <calculatedColumnFormula>SUM(Tabla2691260[Total cluster weight (g)])</calculatedColumnFormula>
    </tableColumn>
  </tableColumns>
  <tableStyleInfo name="TableStyleMedium2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1F000000}" name="Tabla7082" displayName="Tabla7082" ref="A493:G494" totalsRowShown="0" headerRowDxfId="702" dataDxfId="700" headerRowBorderDxfId="701" tableBorderDxfId="699" totalsRowBorderDxfId="698">
  <autoFilter ref="A493:G494" xr:uid="{00000000-0009-0000-0100-000051000000}"/>
  <tableColumns count="7">
    <tableColumn id="1" xr3:uid="{00000000-0010-0000-1F00-000001000000}" name="PLANT C10" dataDxfId="697"/>
    <tableColumn id="2" xr3:uid="{00000000-0010-0000-1F00-000002000000}" name="Average  height (mm)" dataDxfId="696">
      <calculatedColumnFormula>AVERAGE(Tabla2691361[Height (mm)])</calculatedColumnFormula>
    </tableColumn>
    <tableColumn id="3" xr3:uid="{00000000-0010-0000-1F00-000003000000}" name="Average width (mm)" dataDxfId="695">
      <calculatedColumnFormula>AVERAGE(Tabla2691361[Width (mm)])</calculatedColumnFormula>
    </tableColumn>
    <tableColumn id="4" xr3:uid="{00000000-0010-0000-1F00-000004000000}" name="Total clusters number" dataDxfId="694">
      <calculatedColumnFormula>MAX(Tabla2691361[[Cluster number ]])</calculatedColumnFormula>
    </tableColumn>
    <tableColumn id="5" xr3:uid="{00000000-0010-0000-1F00-000005000000}" name="Tomato average weight per plant" dataDxfId="693">
      <calculatedColumnFormula>AVERAGE(Tabla2691361[Tomato average weight per cluster])</calculatedColumnFormula>
    </tableColumn>
    <tableColumn id="6" xr3:uid="{00000000-0010-0000-1F00-000006000000}" name="Total number of tomatoes " dataDxfId="692">
      <calculatedColumnFormula>COUNTA(Tabla2691361["C10" PLANT])</calculatedColumnFormula>
    </tableColumn>
    <tableColumn id="7" xr3:uid="{00000000-0010-0000-1F00-000007000000}" name="Total weight (g)" dataDxfId="691">
      <calculatedColumnFormula>SUM(Tabla2691361[Total cluster weight (g)])</calculatedColumnFormula>
    </tableColumn>
  </tableColumns>
  <tableStyleInfo name="TableStyleMedium2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20000000}" name="Tabla7083" displayName="Tabla7083" ref="A534:G535" totalsRowShown="0" headerRowDxfId="690" dataDxfId="688" headerRowBorderDxfId="689" tableBorderDxfId="687" totalsRowBorderDxfId="686">
  <autoFilter ref="A534:G535" xr:uid="{00000000-0009-0000-0100-000052000000}"/>
  <tableColumns count="7">
    <tableColumn id="1" xr3:uid="{00000000-0010-0000-2000-000001000000}" name="PLANT C11" dataDxfId="685"/>
    <tableColumn id="2" xr3:uid="{00000000-0010-0000-2000-000002000000}" name="Average  height (mm)" dataDxfId="684">
      <calculatedColumnFormula>AVERAGE(Tabla2691462[Height (mm)])</calculatedColumnFormula>
    </tableColumn>
    <tableColumn id="3" xr3:uid="{00000000-0010-0000-2000-000003000000}" name="Average width (mm)" dataDxfId="683">
      <calculatedColumnFormula>AVERAGE(Tabla2691462[Width (mm)])</calculatedColumnFormula>
    </tableColumn>
    <tableColumn id="4" xr3:uid="{00000000-0010-0000-2000-000004000000}" name="Total clusters number" dataDxfId="682">
      <calculatedColumnFormula>MAX(Tabla2691462[[Cluster number ]])</calculatedColumnFormula>
    </tableColumn>
    <tableColumn id="5" xr3:uid="{00000000-0010-0000-2000-000005000000}" name="Tomato average weight per plant" dataDxfId="681">
      <calculatedColumnFormula>AVERAGE(Tabla2691462[Tomato average weight per cluster])</calculatedColumnFormula>
    </tableColumn>
    <tableColumn id="6" xr3:uid="{00000000-0010-0000-2000-000006000000}" name="Total number of tomatoes " dataDxfId="680">
      <calculatedColumnFormula>COUNTA(Tabla2691462["C11" PLANT])</calculatedColumnFormula>
    </tableColumn>
    <tableColumn id="7" xr3:uid="{00000000-0010-0000-2000-000007000000}" name="Total weight (g)" dataDxfId="679">
      <calculatedColumnFormula>SUM(Tabla2691462[Total cluster weight (g)])</calculatedColumnFormula>
    </tableColumn>
  </tableColumns>
  <tableStyleInfo name="TableStyleMedium2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21000000}" name="Tabla7084" displayName="Tabla7084" ref="A582:G583" totalsRowShown="0" headerRowDxfId="678" dataDxfId="676" headerRowBorderDxfId="677" tableBorderDxfId="675" totalsRowBorderDxfId="674">
  <autoFilter ref="A582:G583" xr:uid="{00000000-0009-0000-0100-000053000000}"/>
  <tableColumns count="7">
    <tableColumn id="1" xr3:uid="{00000000-0010-0000-2100-000001000000}" name="PLANT C12" dataDxfId="673"/>
    <tableColumn id="2" xr3:uid="{00000000-0010-0000-2100-000002000000}" name="Average  height (mm)" dataDxfId="672">
      <calculatedColumnFormula>AVERAGE(Tabla2691563[Height (mm)])</calculatedColumnFormula>
    </tableColumn>
    <tableColumn id="3" xr3:uid="{00000000-0010-0000-2100-000003000000}" name="Average width (mm)" dataDxfId="671">
      <calculatedColumnFormula>AVERAGE(Tabla2691563[Width (mm)])</calculatedColumnFormula>
    </tableColumn>
    <tableColumn id="4" xr3:uid="{00000000-0010-0000-2100-000004000000}" name="Total clusters number" dataDxfId="670">
      <calculatedColumnFormula>MAX(Tabla2691563[[Cluster number ]])</calculatedColumnFormula>
    </tableColumn>
    <tableColumn id="5" xr3:uid="{00000000-0010-0000-2100-000005000000}" name="Tomato average weight per plant" dataDxfId="669">
      <calculatedColumnFormula>AVERAGE(Tabla2691563[Tomato average weight per cluster])</calculatedColumnFormula>
    </tableColumn>
    <tableColumn id="6" xr3:uid="{00000000-0010-0000-2100-000006000000}" name="Total number of tomatoes " dataDxfId="668">
      <calculatedColumnFormula>COUNTA(Tabla2691563["C12" PLANT])</calculatedColumnFormula>
    </tableColumn>
    <tableColumn id="7" xr3:uid="{00000000-0010-0000-2100-000007000000}" name="Total weight (g)" dataDxfId="667">
      <calculatedColumnFormula>SUM(Tabla2691563[Total cluster weight (g)])</calculatedColumnFormula>
    </tableColumn>
  </tableColumns>
  <tableStyleInfo name="TableStyleMedium2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22000000}" name="Tabla7086" displayName="Tabla7086" ref="A634:G635" totalsRowShown="0" headerRowDxfId="666" dataDxfId="664" headerRowBorderDxfId="665" tableBorderDxfId="663" totalsRowBorderDxfId="662">
  <autoFilter ref="A634:G635" xr:uid="{00000000-0009-0000-0100-000055000000}"/>
  <tableColumns count="7">
    <tableColumn id="1" xr3:uid="{00000000-0010-0000-2200-000001000000}" name="PLANT C13" dataDxfId="661"/>
    <tableColumn id="2" xr3:uid="{00000000-0010-0000-2200-000002000000}" name="Average  height (mm)" dataDxfId="660">
      <calculatedColumnFormula>AVERAGE(Tabla2691664[Height (mm)])</calculatedColumnFormula>
    </tableColumn>
    <tableColumn id="3" xr3:uid="{00000000-0010-0000-2200-000003000000}" name="Average width (mm)" dataDxfId="659">
      <calculatedColumnFormula>AVERAGE(Tabla2691664[Width (mm)])</calculatedColumnFormula>
    </tableColumn>
    <tableColumn id="4" xr3:uid="{00000000-0010-0000-2200-000004000000}" name="Total clusters number" dataDxfId="658">
      <calculatedColumnFormula>MAX(Tabla2691664[[Cluster number ]])</calculatedColumnFormula>
    </tableColumn>
    <tableColumn id="5" xr3:uid="{00000000-0010-0000-2200-000005000000}" name="Tomato average weight per plant" dataDxfId="657">
      <calculatedColumnFormula>AVERAGE(Tabla2691664[Tomato average weight per cluster])</calculatedColumnFormula>
    </tableColumn>
    <tableColumn id="6" xr3:uid="{00000000-0010-0000-2200-000006000000}" name="Total number of tomatoes " dataDxfId="656">
      <calculatedColumnFormula>COUNTA(Tabla2691664["C13" PLANT])</calculatedColumnFormula>
    </tableColumn>
    <tableColumn id="7" xr3:uid="{00000000-0010-0000-2200-000007000000}" name="Total weight (g)" dataDxfId="655">
      <calculatedColumnFormula>SUM(Tabla2691664[Total cluster weight (g)])</calculatedColumnFormula>
    </tableColumn>
  </tableColumns>
  <tableStyleInfo name="TableStyleMedium2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23000000}" name="Tabla7087" displayName="Tabla7087" ref="A676:G677" totalsRowShown="0" headerRowDxfId="654" dataDxfId="652" headerRowBorderDxfId="653" tableBorderDxfId="651" totalsRowBorderDxfId="650">
  <autoFilter ref="A676:G677" xr:uid="{00000000-0009-0000-0100-000056000000}"/>
  <tableColumns count="7">
    <tableColumn id="1" xr3:uid="{00000000-0010-0000-2300-000001000000}" name="PLANT C14" dataDxfId="649"/>
    <tableColumn id="2" xr3:uid="{00000000-0010-0000-2300-000002000000}" name="Average  height (mm)" dataDxfId="648">
      <calculatedColumnFormula>AVERAGE(Tabla269161765[Height (mm)])</calculatedColumnFormula>
    </tableColumn>
    <tableColumn id="3" xr3:uid="{00000000-0010-0000-2300-000003000000}" name="Average width (mm)" dataDxfId="647">
      <calculatedColumnFormula>AVERAGE(Tabla269161765[Width (mm)])</calculatedColumnFormula>
    </tableColumn>
    <tableColumn id="4" xr3:uid="{00000000-0010-0000-2300-000004000000}" name="Total clusters number" dataDxfId="646">
      <calculatedColumnFormula>MAX(Tabla269161765[[Cluster number ]])</calculatedColumnFormula>
    </tableColumn>
    <tableColumn id="5" xr3:uid="{00000000-0010-0000-2300-000005000000}" name="Tomato average weight per plant" dataDxfId="645">
      <calculatedColumnFormula>AVERAGE(Tabla269161765[Tomato average weight per cluster])</calculatedColumnFormula>
    </tableColumn>
    <tableColumn id="6" xr3:uid="{00000000-0010-0000-2300-000006000000}" name="Total number of tomatoes " dataDxfId="644">
      <calculatedColumnFormula>COUNTA(Tabla269161765["C14" PLANT])</calculatedColumnFormula>
    </tableColumn>
    <tableColumn id="7" xr3:uid="{00000000-0010-0000-2300-000007000000}" name="Total weight (g)" dataDxfId="643">
      <calculatedColumnFormula>SUM(Tabla269161765[Total cluster weight (g)])</calculatedColumnFormula>
    </tableColumn>
  </tableColumns>
  <tableStyleInfo name="TableStyleMedium2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24000000}" name="Tabla7089" displayName="Tabla7089" ref="A731:G732" totalsRowShown="0" headerRowDxfId="642" dataDxfId="640" headerRowBorderDxfId="641" tableBorderDxfId="639" totalsRowBorderDxfId="638">
  <autoFilter ref="A731:G732" xr:uid="{00000000-0009-0000-0100-000058000000}"/>
  <tableColumns count="7">
    <tableColumn id="1" xr3:uid="{00000000-0010-0000-2400-000001000000}" name="PLANT C15" dataDxfId="637"/>
    <tableColumn id="2" xr3:uid="{00000000-0010-0000-2400-000002000000}" name="Average  height (mm)" dataDxfId="636">
      <calculatedColumnFormula>AVERAGE(Tabla269161866[Height (mm)])</calculatedColumnFormula>
    </tableColumn>
    <tableColumn id="3" xr3:uid="{00000000-0010-0000-2400-000003000000}" name="Average width (mm)" dataDxfId="635">
      <calculatedColumnFormula>AVERAGE(Tabla269161866[Width (mm)])</calculatedColumnFormula>
    </tableColumn>
    <tableColumn id="4" xr3:uid="{00000000-0010-0000-2400-000004000000}" name="Total clusters number" dataDxfId="634">
      <calculatedColumnFormula>MAX(Tabla269161866[[Cluster number ]])</calculatedColumnFormula>
    </tableColumn>
    <tableColumn id="5" xr3:uid="{00000000-0010-0000-2400-000005000000}" name="Tomato average weight per plant" dataDxfId="633">
      <calculatedColumnFormula>AVERAGE(Tabla269161866[Tomato average weight per cluster])</calculatedColumnFormula>
    </tableColumn>
    <tableColumn id="6" xr3:uid="{00000000-0010-0000-2400-000006000000}" name="Total number of tomatoes " dataDxfId="632">
      <calculatedColumnFormula>COUNTA(Tabla269161866["C15" PLANT])</calculatedColumnFormula>
    </tableColumn>
    <tableColumn id="7" xr3:uid="{00000000-0010-0000-2400-000007000000}" name="Total weight (g)" dataDxfId="631">
      <calculatedColumnFormula>SUM(Tabla269161866[Total cluster weight (g)])</calculatedColumnFormula>
    </tableColumn>
  </tableColumns>
  <tableStyleInfo name="TableStyleMedium2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25000000}" name="Tabla7091" displayName="Tabla7091" ref="A779:G780" totalsRowShown="0" headerRowDxfId="630" dataDxfId="628" headerRowBorderDxfId="629" tableBorderDxfId="627" totalsRowBorderDxfId="626">
  <autoFilter ref="A779:G780" xr:uid="{00000000-0009-0000-0100-00005A000000}"/>
  <tableColumns count="7">
    <tableColumn id="1" xr3:uid="{00000000-0010-0000-2500-000001000000}" name="PLANT C16" dataDxfId="625"/>
    <tableColumn id="2" xr3:uid="{00000000-0010-0000-2500-000002000000}" name="Average  height (mm)" dataDxfId="624">
      <calculatedColumnFormula>AVERAGE(Tabla269161967[Height (mm)])</calculatedColumnFormula>
    </tableColumn>
    <tableColumn id="3" xr3:uid="{00000000-0010-0000-2500-000003000000}" name="Average width (mm)" dataDxfId="623">
      <calculatedColumnFormula>AVERAGE(Tabla269161967[Width (mm)])</calculatedColumnFormula>
    </tableColumn>
    <tableColumn id="4" xr3:uid="{00000000-0010-0000-2500-000004000000}" name="Total clusters number" dataDxfId="622">
      <calculatedColumnFormula>MAX(Tabla269161967[[Cluster number ]])</calculatedColumnFormula>
    </tableColumn>
    <tableColumn id="5" xr3:uid="{00000000-0010-0000-2500-000005000000}" name="Tomato average weight per plant" dataDxfId="621">
      <calculatedColumnFormula>AVERAGE(Tabla269161967[Tomato average weight per cluster])</calculatedColumnFormula>
    </tableColumn>
    <tableColumn id="6" xr3:uid="{00000000-0010-0000-2500-000006000000}" name="Total number of tomatoes " dataDxfId="620">
      <calculatedColumnFormula>COUNTA(Tabla269161967["C16" PLANT])</calculatedColumnFormula>
    </tableColumn>
    <tableColumn id="7" xr3:uid="{00000000-0010-0000-2500-000007000000}" name="Total weight (g)" dataDxfId="619">
      <calculatedColumnFormula>SUM(Tabla269161967[Total cluster weight (g)])</calculatedColumnFormula>
    </tableColumn>
  </tableColumns>
  <tableStyleInfo name="TableStyleMedium2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26000000}" name="Tabla7093" displayName="Tabla7093" ref="A823:G824" totalsRowShown="0" headerRowDxfId="618" dataDxfId="616" headerRowBorderDxfId="617" tableBorderDxfId="615" totalsRowBorderDxfId="614">
  <autoFilter ref="A823:G824" xr:uid="{00000000-0009-0000-0100-00005C000000}"/>
  <tableColumns count="7">
    <tableColumn id="1" xr3:uid="{00000000-0010-0000-2600-000001000000}" name="PLANT C17" dataDxfId="613"/>
    <tableColumn id="2" xr3:uid="{00000000-0010-0000-2600-000002000000}" name="Average  height (mm)" dataDxfId="612">
      <calculatedColumnFormula>AVERAGE(Tabla269162068[Height (mm)])</calculatedColumnFormula>
    </tableColumn>
    <tableColumn id="3" xr3:uid="{00000000-0010-0000-2600-000003000000}" name="Average width (mm)" dataDxfId="611">
      <calculatedColumnFormula>AVERAGE(Tabla269162068[Width (mm)])</calculatedColumnFormula>
    </tableColumn>
    <tableColumn id="4" xr3:uid="{00000000-0010-0000-2600-000004000000}" name="Total clusters number" dataDxfId="610">
      <calculatedColumnFormula>MAX(Tabla269162068[[Cluster number ]])</calculatedColumnFormula>
    </tableColumn>
    <tableColumn id="5" xr3:uid="{00000000-0010-0000-2600-000005000000}" name="Tomato average weight per plant" dataDxfId="609">
      <calculatedColumnFormula>AVERAGE(Tabla269162068[Tomato average weight per cluster])</calculatedColumnFormula>
    </tableColumn>
    <tableColumn id="6" xr3:uid="{00000000-0010-0000-2600-000006000000}" name="Total number of tomatoes " dataDxfId="608">
      <calculatedColumnFormula>COUNTA(Tabla269162068["C17" PLANT])</calculatedColumnFormula>
    </tableColumn>
    <tableColumn id="7" xr3:uid="{00000000-0010-0000-2600-000007000000}" name="Total weight (g)" dataDxfId="607">
      <calculatedColumnFormula>SUM(Tabla269162068[Total cluster weight (g)])</calculatedColumnFormula>
    </tableColumn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269755" displayName="Tabla269755" ref="A154:H197" totalsRowShown="0">
  <autoFilter ref="A154:H197" xr:uid="{00000000-0009-0000-0100-000004000000}"/>
  <tableColumns count="8">
    <tableColumn id="1" xr3:uid="{00000000-0010-0000-0300-000001000000}" name="&quot;C4&quot; PLANT" dataDxfId="962"/>
    <tableColumn id="2" xr3:uid="{00000000-0010-0000-0300-000002000000}" name="Height (mm)" dataDxfId="961"/>
    <tableColumn id="3" xr3:uid="{00000000-0010-0000-0300-000003000000}" name="Width (mm)" dataDxfId="960"/>
    <tableColumn id="4" xr3:uid="{00000000-0010-0000-0300-000004000000}" name="Weight (g)" dataDxfId="959"/>
    <tableColumn id="5" xr3:uid="{00000000-0010-0000-0300-000005000000}" name="Cluster number " dataDxfId="958"/>
    <tableColumn id="6" xr3:uid="{00000000-0010-0000-0300-000006000000}" name="Color" dataDxfId="957"/>
    <tableColumn id="7" xr3:uid="{00000000-0010-0000-0300-000007000000}" name="Total cluster weight (g)" dataDxfId="956"/>
    <tableColumn id="8" xr3:uid="{00000000-0010-0000-0300-000008000000}" name="Tomato average weight per cluster" dataDxfId="955"/>
  </tableColumns>
  <tableStyleInfo name="TableStyleMedium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27000000}" name="Tabla7095" displayName="Tabla7095" ref="A876:G877" totalsRowShown="0" headerRowDxfId="606" dataDxfId="604" headerRowBorderDxfId="605" tableBorderDxfId="603" totalsRowBorderDxfId="602">
  <autoFilter ref="A876:G877" xr:uid="{00000000-0009-0000-0100-00005E000000}"/>
  <tableColumns count="7">
    <tableColumn id="1" xr3:uid="{00000000-0010-0000-2700-000001000000}" name="PLANT C18" dataDxfId="601"/>
    <tableColumn id="2" xr3:uid="{00000000-0010-0000-2700-000002000000}" name="Average  height (mm)" dataDxfId="600">
      <calculatedColumnFormula>AVERAGE(Tabla269162169[Height (mm)])</calculatedColumnFormula>
    </tableColumn>
    <tableColumn id="3" xr3:uid="{00000000-0010-0000-2700-000003000000}" name="Average width (mm)" dataDxfId="599">
      <calculatedColumnFormula>AVERAGE(Tabla269162169[Width (mm)])</calculatedColumnFormula>
    </tableColumn>
    <tableColumn id="4" xr3:uid="{00000000-0010-0000-2700-000004000000}" name="Total clusters number" dataDxfId="598">
      <calculatedColumnFormula>MAX(Tabla269162169[[Cluster number ]])</calculatedColumnFormula>
    </tableColumn>
    <tableColumn id="5" xr3:uid="{00000000-0010-0000-2700-000005000000}" name="Tomato average weight per plant" dataDxfId="597">
      <calculatedColumnFormula>AVERAGE(Tabla269162169[Tomato average weight per cluster])</calculatedColumnFormula>
    </tableColumn>
    <tableColumn id="6" xr3:uid="{00000000-0010-0000-2700-000006000000}" name="Total number of tomatoes " dataDxfId="596">
      <calculatedColumnFormula>COUNTA(Tabla269162169["C18" PLANT])</calculatedColumnFormula>
    </tableColumn>
    <tableColumn id="7" xr3:uid="{00000000-0010-0000-2700-000007000000}" name="Total weight (g)" dataDxfId="595">
      <calculatedColumnFormula>SUM(Tabla269162169[Total cluster weight (g)])</calculatedColumnFormula>
    </tableColumn>
  </tableColumns>
  <tableStyleInfo name="TableStyleMedium2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28000000}" name="Tabla7097" displayName="Tabla7097" ref="A926:G927" totalsRowShown="0" headerRowDxfId="594" dataDxfId="592" headerRowBorderDxfId="593" tableBorderDxfId="591" totalsRowBorderDxfId="590">
  <autoFilter ref="A926:G927" xr:uid="{00000000-0009-0000-0100-000060000000}"/>
  <tableColumns count="7">
    <tableColumn id="1" xr3:uid="{00000000-0010-0000-2800-000001000000}" name="PLANT C19" dataDxfId="589"/>
    <tableColumn id="2" xr3:uid="{00000000-0010-0000-2800-000002000000}" name="Average  height (mm)" dataDxfId="588">
      <calculatedColumnFormula>AVERAGE(Tabla269162270[Height (mm)])</calculatedColumnFormula>
    </tableColumn>
    <tableColumn id="3" xr3:uid="{00000000-0010-0000-2800-000003000000}" name="Average width (mm)" dataDxfId="587">
      <calculatedColumnFormula>AVERAGE(Tabla269162270[Width (mm)])</calculatedColumnFormula>
    </tableColumn>
    <tableColumn id="4" xr3:uid="{00000000-0010-0000-2800-000004000000}" name="Total clusters number" dataDxfId="586">
      <calculatedColumnFormula>MAX(Tabla269162270[[Cluster number ]])</calculatedColumnFormula>
    </tableColumn>
    <tableColumn id="5" xr3:uid="{00000000-0010-0000-2800-000005000000}" name="Tomato average weight per plant" dataDxfId="585">
      <calculatedColumnFormula>AVERAGE(Tabla269162270[Tomato average weight per cluster])</calculatedColumnFormula>
    </tableColumn>
    <tableColumn id="6" xr3:uid="{00000000-0010-0000-2800-000006000000}" name="Total number of tomatoes " dataDxfId="584">
      <calculatedColumnFormula>COUNTA(Tabla269162270["C19" PLANT])</calculatedColumnFormula>
    </tableColumn>
    <tableColumn id="7" xr3:uid="{00000000-0010-0000-2800-000007000000}" name="Total weight (g)" dataDxfId="583">
      <calculatedColumnFormula>SUM(Tabla269162270[Total cluster weight (g)])</calculatedColumnFormula>
    </tableColumn>
  </tableColumns>
  <tableStyleInfo name="TableStyleMedium2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29000000}" name="Tabla7099" displayName="Tabla7099" ref="A957:G958" totalsRowShown="0" headerRowDxfId="582" dataDxfId="580" headerRowBorderDxfId="581" tableBorderDxfId="579" totalsRowBorderDxfId="578">
  <autoFilter ref="A957:G958" xr:uid="{00000000-0009-0000-0100-000062000000}"/>
  <tableColumns count="7">
    <tableColumn id="1" xr3:uid="{00000000-0010-0000-2900-000001000000}" name="PLANT C20" dataDxfId="577"/>
    <tableColumn id="2" xr3:uid="{00000000-0010-0000-2900-000002000000}" name="Average  height (mm)" dataDxfId="576">
      <calculatedColumnFormula>AVERAGE(Tabla269162371[Height (mm)])</calculatedColumnFormula>
    </tableColumn>
    <tableColumn id="3" xr3:uid="{00000000-0010-0000-2900-000003000000}" name="Average width (mm)" dataDxfId="575">
      <calculatedColumnFormula>AVERAGE(Tabla269162371[Width (mm)])</calculatedColumnFormula>
    </tableColumn>
    <tableColumn id="4" xr3:uid="{00000000-0010-0000-2900-000004000000}" name="Total clusters number" dataDxfId="574">
      <calculatedColumnFormula>MAX(Tabla269162371[[Cluster number ]])</calculatedColumnFormula>
    </tableColumn>
    <tableColumn id="5" xr3:uid="{00000000-0010-0000-2900-000005000000}" name="Tomato average weight per plant" dataDxfId="573">
      <calculatedColumnFormula>AVERAGE(Tabla269162371[Tomato average weight per cluster])</calculatedColumnFormula>
    </tableColumn>
    <tableColumn id="6" xr3:uid="{00000000-0010-0000-2900-000006000000}" name="Total number of tomatoes " dataDxfId="572">
      <calculatedColumnFormula>COUNTA(Tabla269162371["C20" PLANT])</calculatedColumnFormula>
    </tableColumn>
    <tableColumn id="7" xr3:uid="{00000000-0010-0000-2900-000007000000}" name="Total weight (g)" dataDxfId="571">
      <calculatedColumnFormula>SUM(Tabla269162371[Total cluster weight (g)])</calculatedColumnFormula>
    </tableColumn>
  </tableColumns>
  <tableStyleInfo name="TableStyleMedium2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2A000000}" name="Tabla70100" displayName="Tabla70100" ref="A1003:G1004" totalsRowShown="0" headerRowDxfId="570" dataDxfId="568" headerRowBorderDxfId="569" tableBorderDxfId="567" totalsRowBorderDxfId="566">
  <autoFilter ref="A1003:G1004" xr:uid="{00000000-0009-0000-0100-000063000000}"/>
  <tableColumns count="7">
    <tableColumn id="1" xr3:uid="{00000000-0010-0000-2A00-000001000000}" name="PLANT C21" dataDxfId="565"/>
    <tableColumn id="2" xr3:uid="{00000000-0010-0000-2A00-000002000000}" name="Average  height (mm)" dataDxfId="564">
      <calculatedColumnFormula>AVERAGE(Tabla269162472[Height (mm)])</calculatedColumnFormula>
    </tableColumn>
    <tableColumn id="3" xr3:uid="{00000000-0010-0000-2A00-000003000000}" name="Average width (mm)" dataDxfId="563">
      <calculatedColumnFormula>AVERAGE(Tabla269162472[Width (mm)])</calculatedColumnFormula>
    </tableColumn>
    <tableColumn id="4" xr3:uid="{00000000-0010-0000-2A00-000004000000}" name="Total clusters number" dataDxfId="562">
      <calculatedColumnFormula>MAX(Tabla269162472[[Cluster number ]])</calculatedColumnFormula>
    </tableColumn>
    <tableColumn id="5" xr3:uid="{00000000-0010-0000-2A00-000005000000}" name="Tomato average weight per plant" dataDxfId="561">
      <calculatedColumnFormula>AVERAGE(Tabla269162472[Tomato average weight per cluster])</calculatedColumnFormula>
    </tableColumn>
    <tableColumn id="6" xr3:uid="{00000000-0010-0000-2A00-000006000000}" name="Total number of tomatoes " dataDxfId="560">
      <calculatedColumnFormula>COUNTA(Tabla269162472["C21" PLANT])</calculatedColumnFormula>
    </tableColumn>
    <tableColumn id="7" xr3:uid="{00000000-0010-0000-2A00-000007000000}" name="Total weight (g)" dataDxfId="559">
      <calculatedColumnFormula>SUM(Tabla269162472[Total cluster weight (g)])</calculatedColumnFormula>
    </tableColumn>
  </tableColumns>
  <tableStyleInfo name="TableStyleMedium2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2B000000}" name="Tabla70101" displayName="Tabla70101" ref="A1046:G1047" totalsRowShown="0" headerRowDxfId="558" dataDxfId="556" headerRowBorderDxfId="557" tableBorderDxfId="555" totalsRowBorderDxfId="554">
  <autoFilter ref="A1046:G1047" xr:uid="{00000000-0009-0000-0100-000064000000}"/>
  <tableColumns count="7">
    <tableColumn id="1" xr3:uid="{00000000-0010-0000-2B00-000001000000}" name="PLANT C22" dataDxfId="553"/>
    <tableColumn id="2" xr3:uid="{00000000-0010-0000-2B00-000002000000}" name="Average  height (mm)" dataDxfId="552">
      <calculatedColumnFormula>AVERAGE(Tabla269162573[Height (mm)])</calculatedColumnFormula>
    </tableColumn>
    <tableColumn id="3" xr3:uid="{00000000-0010-0000-2B00-000003000000}" name="Average width (mm)" dataDxfId="551">
      <calculatedColumnFormula>AVERAGE(Tabla269162573[Width (mm)])</calculatedColumnFormula>
    </tableColumn>
    <tableColumn id="4" xr3:uid="{00000000-0010-0000-2B00-000004000000}" name="Total clusters number" dataDxfId="550">
      <calculatedColumnFormula>MAX(Tabla269162573[[Cluster number ]])</calculatedColumnFormula>
    </tableColumn>
    <tableColumn id="5" xr3:uid="{00000000-0010-0000-2B00-000005000000}" name="Tomato average weight per plant" dataDxfId="549">
      <calculatedColumnFormula>AVERAGE(Tabla269162573[Tomato average weight per cluster])</calculatedColumnFormula>
    </tableColumn>
    <tableColumn id="6" xr3:uid="{00000000-0010-0000-2B00-000006000000}" name="Total number of tomatoes " dataDxfId="548">
      <calculatedColumnFormula>COUNTA(Tabla269162573["C22" PLANT])</calculatedColumnFormula>
    </tableColumn>
    <tableColumn id="7" xr3:uid="{00000000-0010-0000-2B00-000007000000}" name="Total weight (g)" dataDxfId="547">
      <calculatedColumnFormula>SUM(Tabla269162573[Total cluster weight (g)])</calculatedColumnFormula>
    </tableColumn>
  </tableColumns>
  <tableStyleInfo name="TableStyleMedium2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2C000000}" name="Tabla269" displayName="Tabla269" ref="A5:H45" totalsRowShown="0">
  <autoFilter ref="A5:H45" xr:uid="{00000000-0009-0000-0100-000017000000}"/>
  <tableColumns count="8">
    <tableColumn id="1" xr3:uid="{00000000-0010-0000-2C00-000001000000}" name="&quot;L1&quot; PLANT" dataDxfId="546"/>
    <tableColumn id="2" xr3:uid="{00000000-0010-0000-2C00-000002000000}" name="Height (mm)" dataDxfId="545"/>
    <tableColumn id="3" xr3:uid="{00000000-0010-0000-2C00-000003000000}" name="Width (mm)" dataDxfId="544"/>
    <tableColumn id="4" xr3:uid="{00000000-0010-0000-2C00-000004000000}" name="Weight (g)" dataDxfId="543"/>
    <tableColumn id="5" xr3:uid="{00000000-0010-0000-2C00-000005000000}" name="Cluster number " dataDxfId="542"/>
    <tableColumn id="6" xr3:uid="{00000000-0010-0000-2C00-000006000000}" name="Color" dataDxfId="541"/>
    <tableColumn id="7" xr3:uid="{00000000-0010-0000-2C00-000007000000}" name="Total cluster weight (g)" dataDxfId="540"/>
    <tableColumn id="8" xr3:uid="{00000000-0010-0000-2C00-000008000000}" name="Tomato average weight per cluster" dataDxfId="539"/>
  </tableColumns>
  <tableStyleInfo name="TableStyleMedium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2D000000}" name="Tabla2695" displayName="Tabla2695" ref="A50:H98" totalsRowShown="0">
  <autoFilter ref="A50:H98" xr:uid="{00000000-0009-0000-0100-000018000000}"/>
  <tableColumns count="8">
    <tableColumn id="1" xr3:uid="{00000000-0010-0000-2D00-000001000000}" name="&quot;L2&quot; PLANT" dataDxfId="538"/>
    <tableColumn id="2" xr3:uid="{00000000-0010-0000-2D00-000002000000}" name="Height (mm)" dataDxfId="537"/>
    <tableColumn id="3" xr3:uid="{00000000-0010-0000-2D00-000003000000}" name="Width (mm)" dataDxfId="536"/>
    <tableColumn id="4" xr3:uid="{00000000-0010-0000-2D00-000004000000}" name="Weight (g)" dataDxfId="535"/>
    <tableColumn id="5" xr3:uid="{00000000-0010-0000-2D00-000005000000}" name="Cluster number " dataDxfId="534"/>
    <tableColumn id="6" xr3:uid="{00000000-0010-0000-2D00-000006000000}" name="Color" dataDxfId="533"/>
    <tableColumn id="7" xr3:uid="{00000000-0010-0000-2D00-000007000000}" name="Total cluster weight (g)" dataDxfId="532"/>
    <tableColumn id="8" xr3:uid="{00000000-0010-0000-2D00-000008000000}" name="Tomato average weight per cluster" dataDxfId="531"/>
  </tableColumns>
  <tableStyleInfo name="TableStyleMedium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2E000000}" name="Tabla2696" displayName="Tabla2696" ref="A103:H156" totalsRowShown="0">
  <autoFilter ref="A103:H156" xr:uid="{00000000-0009-0000-0100-000019000000}"/>
  <tableColumns count="8">
    <tableColumn id="1" xr3:uid="{00000000-0010-0000-2E00-000001000000}" name="&quot;L3&quot; PLANT" dataDxfId="530"/>
    <tableColumn id="2" xr3:uid="{00000000-0010-0000-2E00-000002000000}" name="Height (mm)" dataDxfId="529"/>
    <tableColumn id="3" xr3:uid="{00000000-0010-0000-2E00-000003000000}" name="Width (mm)" dataDxfId="528"/>
    <tableColumn id="4" xr3:uid="{00000000-0010-0000-2E00-000004000000}" name="Weight (g)" dataDxfId="527"/>
    <tableColumn id="5" xr3:uid="{00000000-0010-0000-2E00-000005000000}" name="Cluster number " dataDxfId="526"/>
    <tableColumn id="6" xr3:uid="{00000000-0010-0000-2E00-000006000000}" name="Color" dataDxfId="525"/>
    <tableColumn id="7" xr3:uid="{00000000-0010-0000-2E00-000007000000}" name="Total cluster weight (g)" dataDxfId="524"/>
    <tableColumn id="8" xr3:uid="{00000000-0010-0000-2E00-000008000000}" name="Tomato average weight per cluster" dataDxfId="523"/>
  </tableColumns>
  <tableStyleInfo name="TableStyleMedium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2F000000}" name="Tabla2697" displayName="Tabla2697" ref="A161:H210" totalsRowShown="0">
  <autoFilter ref="A161:H210" xr:uid="{00000000-0009-0000-0100-00001A000000}"/>
  <tableColumns count="8">
    <tableColumn id="1" xr3:uid="{00000000-0010-0000-2F00-000001000000}" name="&quot;L4&quot; PLANT" dataDxfId="522"/>
    <tableColumn id="2" xr3:uid="{00000000-0010-0000-2F00-000002000000}" name="Height (mm)" dataDxfId="521"/>
    <tableColumn id="3" xr3:uid="{00000000-0010-0000-2F00-000003000000}" name="Width (mm)" dataDxfId="520"/>
    <tableColumn id="4" xr3:uid="{00000000-0010-0000-2F00-000004000000}" name="Weight (g)" dataDxfId="519"/>
    <tableColumn id="5" xr3:uid="{00000000-0010-0000-2F00-000005000000}" name="Cluster number " dataDxfId="518"/>
    <tableColumn id="6" xr3:uid="{00000000-0010-0000-2F00-000006000000}" name="Color" dataDxfId="517"/>
    <tableColumn id="7" xr3:uid="{00000000-0010-0000-2F00-000007000000}" name="Total cluster weight (g)" dataDxfId="516"/>
    <tableColumn id="8" xr3:uid="{00000000-0010-0000-2F00-000008000000}" name="Tomato average weight per cluster" dataDxfId="515"/>
  </tableColumns>
  <tableStyleInfo name="TableStyleMedium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30000000}" name="Tabla2698" displayName="Tabla2698" ref="A215:H265" totalsRowShown="0">
  <autoFilter ref="A215:H265" xr:uid="{00000000-0009-0000-0100-00001B000000}"/>
  <tableColumns count="8">
    <tableColumn id="1" xr3:uid="{00000000-0010-0000-3000-000001000000}" name="&quot;L5&quot; PLANT" dataDxfId="514"/>
    <tableColumn id="2" xr3:uid="{00000000-0010-0000-3000-000002000000}" name="Height (mm)" dataDxfId="513"/>
    <tableColumn id="3" xr3:uid="{00000000-0010-0000-3000-000003000000}" name="Width (mm)" dataDxfId="512"/>
    <tableColumn id="4" xr3:uid="{00000000-0010-0000-3000-000004000000}" name="Weight (g)" dataDxfId="511"/>
    <tableColumn id="5" xr3:uid="{00000000-0010-0000-3000-000005000000}" name="Cluster number " dataDxfId="510"/>
    <tableColumn id="6" xr3:uid="{00000000-0010-0000-3000-000006000000}" name="Color" dataDxfId="509"/>
    <tableColumn id="7" xr3:uid="{00000000-0010-0000-3000-000007000000}" name="Total cluster weight (g)" dataDxfId="508"/>
    <tableColumn id="8" xr3:uid="{00000000-0010-0000-3000-000008000000}" name="Tomato average weight per cluster" dataDxfId="507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269856" displayName="Tabla269856" ref="A202:H247" totalsRowShown="0">
  <autoFilter ref="A202:H247" xr:uid="{00000000-0009-0000-0100-000005000000}"/>
  <tableColumns count="8">
    <tableColumn id="1" xr3:uid="{00000000-0010-0000-0400-000001000000}" name="&quot;C5&quot; PLANT" dataDxfId="954"/>
    <tableColumn id="2" xr3:uid="{00000000-0010-0000-0400-000002000000}" name="Height (mm)" dataDxfId="953"/>
    <tableColumn id="3" xr3:uid="{00000000-0010-0000-0400-000003000000}" name="Width (mm)" dataDxfId="952"/>
    <tableColumn id="4" xr3:uid="{00000000-0010-0000-0400-000004000000}" name="Weight (g)" dataDxfId="951"/>
    <tableColumn id="5" xr3:uid="{00000000-0010-0000-0400-000005000000}" name="Cluster number " dataDxfId="950"/>
    <tableColumn id="6" xr3:uid="{00000000-0010-0000-0400-000006000000}" name="Color" dataDxfId="949"/>
    <tableColumn id="7" xr3:uid="{00000000-0010-0000-0400-000007000000}" name="Total cluster weight (g)" dataDxfId="948"/>
    <tableColumn id="8" xr3:uid="{00000000-0010-0000-0400-000008000000}" name="Tomato average weight per cluster" dataDxfId="947"/>
  </tableColumns>
  <tableStyleInfo name="TableStyleMedium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31000000}" name="Tabla2699" displayName="Tabla2699" ref="A270:H310" totalsRowShown="0">
  <autoFilter ref="A270:H310" xr:uid="{00000000-0009-0000-0100-00001C000000}"/>
  <tableColumns count="8">
    <tableColumn id="1" xr3:uid="{00000000-0010-0000-3100-000001000000}" name="&quot;L6&quot; PLANT" dataDxfId="506"/>
    <tableColumn id="2" xr3:uid="{00000000-0010-0000-3100-000002000000}" name="Height (mm)" dataDxfId="505"/>
    <tableColumn id="3" xr3:uid="{00000000-0010-0000-3100-000003000000}" name="Width (mm)" dataDxfId="504"/>
    <tableColumn id="4" xr3:uid="{00000000-0010-0000-3100-000004000000}" name="Weight (g)" dataDxfId="503"/>
    <tableColumn id="5" xr3:uid="{00000000-0010-0000-3100-000005000000}" name="Cluster number " dataDxfId="502"/>
    <tableColumn id="6" xr3:uid="{00000000-0010-0000-3100-000006000000}" name="Color" dataDxfId="501"/>
    <tableColumn id="7" xr3:uid="{00000000-0010-0000-3100-000007000000}" name="Total cluster weight (g)" dataDxfId="500"/>
    <tableColumn id="8" xr3:uid="{00000000-0010-0000-3100-000008000000}" name="Tomato average weight per cluster" dataDxfId="499"/>
  </tableColumns>
  <tableStyleInfo name="TableStyleMedium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32000000}" name="Tabla26910" displayName="Tabla26910" ref="A315:H356" totalsRowShown="0" dataDxfId="498">
  <autoFilter ref="A315:H356" xr:uid="{00000000-0009-0000-0100-00001D000000}"/>
  <tableColumns count="8">
    <tableColumn id="1" xr3:uid="{00000000-0010-0000-3200-000001000000}" name="&quot;L7&quot; PLANT" dataDxfId="497"/>
    <tableColumn id="2" xr3:uid="{00000000-0010-0000-3200-000002000000}" name="Height (mm)" dataDxfId="496"/>
    <tableColumn id="3" xr3:uid="{00000000-0010-0000-3200-000003000000}" name="Width (mm)" dataDxfId="495"/>
    <tableColumn id="4" xr3:uid="{00000000-0010-0000-3200-000004000000}" name="Weight (g)" dataDxfId="494"/>
    <tableColumn id="5" xr3:uid="{00000000-0010-0000-3200-000005000000}" name="Cluster number " dataDxfId="493"/>
    <tableColumn id="6" xr3:uid="{00000000-0010-0000-3200-000006000000}" name="Color" dataDxfId="492"/>
    <tableColumn id="7" xr3:uid="{00000000-0010-0000-3200-000007000000}" name="Total cluster weight (g)" dataDxfId="491"/>
    <tableColumn id="8" xr3:uid="{00000000-0010-0000-3200-000008000000}" name="Tomato average weight per cluster" dataDxfId="490"/>
  </tableColumns>
  <tableStyleInfo name="TableStyleMedium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33000000}" name="Tabla26911" displayName="Tabla26911" ref="A361:H404" totalsRowShown="0" dataDxfId="489">
  <autoFilter ref="A361:H404" xr:uid="{00000000-0009-0000-0100-00001E000000}"/>
  <tableColumns count="8">
    <tableColumn id="1" xr3:uid="{00000000-0010-0000-3300-000001000000}" name="&quot;L8&quot; PLANT" dataDxfId="488"/>
    <tableColumn id="2" xr3:uid="{00000000-0010-0000-3300-000002000000}" name="Height (mm)" dataDxfId="487"/>
    <tableColumn id="3" xr3:uid="{00000000-0010-0000-3300-000003000000}" name="Width (mm)" dataDxfId="486"/>
    <tableColumn id="4" xr3:uid="{00000000-0010-0000-3300-000004000000}" name="Weight (g)" dataDxfId="485"/>
    <tableColumn id="5" xr3:uid="{00000000-0010-0000-3300-000005000000}" name="Cluster number " dataDxfId="484"/>
    <tableColumn id="6" xr3:uid="{00000000-0010-0000-3300-000006000000}" name="Color" dataDxfId="483"/>
    <tableColumn id="7" xr3:uid="{00000000-0010-0000-3300-000007000000}" name="Total cluster weight (g)" dataDxfId="482"/>
    <tableColumn id="8" xr3:uid="{00000000-0010-0000-3300-000008000000}" name="Tomato average weight per cluster" dataDxfId="481"/>
  </tableColumns>
  <tableStyleInfo name="TableStyleMedium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34000000}" name="Tabla26912" displayName="Tabla26912" ref="A409:H450" totalsRowShown="0" dataDxfId="480">
  <autoFilter ref="A409:H450" xr:uid="{00000000-0009-0000-0100-00001F000000}"/>
  <tableColumns count="8">
    <tableColumn id="1" xr3:uid="{00000000-0010-0000-3400-000001000000}" name="&quot;L9&quot; PLANT" dataDxfId="479"/>
    <tableColumn id="2" xr3:uid="{00000000-0010-0000-3400-000002000000}" name="Height (mm)" dataDxfId="478"/>
    <tableColumn id="3" xr3:uid="{00000000-0010-0000-3400-000003000000}" name="Width (mm)" dataDxfId="477"/>
    <tableColumn id="4" xr3:uid="{00000000-0010-0000-3400-000004000000}" name="Weight (g)" dataDxfId="476"/>
    <tableColumn id="5" xr3:uid="{00000000-0010-0000-3400-000005000000}" name="Cluster number " dataDxfId="475"/>
    <tableColumn id="6" xr3:uid="{00000000-0010-0000-3400-000006000000}" name="Color" dataDxfId="474"/>
    <tableColumn id="7" xr3:uid="{00000000-0010-0000-3400-000007000000}" name="Total cluster weight (g)" dataDxfId="473"/>
    <tableColumn id="8" xr3:uid="{00000000-0010-0000-3400-000008000000}" name="Tomato average weight per cluster" dataDxfId="472"/>
  </tableColumns>
  <tableStyleInfo name="TableStyleMedium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35000000}" name="Tabla26913" displayName="Tabla26913" ref="A455:H501" totalsRowShown="0" dataDxfId="471">
  <autoFilter ref="A455:H501" xr:uid="{00000000-0009-0000-0100-000020000000}"/>
  <tableColumns count="8">
    <tableColumn id="1" xr3:uid="{00000000-0010-0000-3500-000001000000}" name="&quot;L10&quot; PLANT" dataDxfId="470"/>
    <tableColumn id="2" xr3:uid="{00000000-0010-0000-3500-000002000000}" name="Height (mm)" dataDxfId="469"/>
    <tableColumn id="3" xr3:uid="{00000000-0010-0000-3500-000003000000}" name="Width (mm)" dataDxfId="468"/>
    <tableColumn id="4" xr3:uid="{00000000-0010-0000-3500-000004000000}" name="Weight (g)" dataDxfId="467"/>
    <tableColumn id="5" xr3:uid="{00000000-0010-0000-3500-000005000000}" name="Cluster number " dataDxfId="466"/>
    <tableColumn id="6" xr3:uid="{00000000-0010-0000-3500-000006000000}" name="Color" dataDxfId="465"/>
    <tableColumn id="7" xr3:uid="{00000000-0010-0000-3500-000007000000}" name="Total cluster weight (g)" dataDxfId="464"/>
    <tableColumn id="8" xr3:uid="{00000000-0010-0000-3500-000008000000}" name="Tomato average weight per cluster" dataDxfId="463"/>
  </tableColumns>
  <tableStyleInfo name="TableStyleMedium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36000000}" name="Tabla26914" displayName="Tabla26914" ref="A506:H553" totalsRowShown="0" dataDxfId="462">
  <autoFilter ref="A506:H553" xr:uid="{00000000-0009-0000-0100-000021000000}"/>
  <tableColumns count="8">
    <tableColumn id="1" xr3:uid="{00000000-0010-0000-3600-000001000000}" name="&quot;L11&quot; PLANT" dataDxfId="461"/>
    <tableColumn id="2" xr3:uid="{00000000-0010-0000-3600-000002000000}" name="Height (mm)" dataDxfId="460"/>
    <tableColumn id="3" xr3:uid="{00000000-0010-0000-3600-000003000000}" name="Width (mm)" dataDxfId="459"/>
    <tableColumn id="4" xr3:uid="{00000000-0010-0000-3600-000004000000}" name="Weight (g)" dataDxfId="458"/>
    <tableColumn id="5" xr3:uid="{00000000-0010-0000-3600-000005000000}" name="Cluster number " dataDxfId="457"/>
    <tableColumn id="6" xr3:uid="{00000000-0010-0000-3600-000006000000}" name="Color" dataDxfId="456"/>
    <tableColumn id="7" xr3:uid="{00000000-0010-0000-3600-000007000000}" name="Total cluster weight (g)" dataDxfId="455"/>
    <tableColumn id="8" xr3:uid="{00000000-0010-0000-3600-000008000000}" name="Tomato average weight per cluster" dataDxfId="454"/>
  </tableColumns>
  <tableStyleInfo name="TableStyleMedium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37000000}" name="Tabla26915" displayName="Tabla26915" ref="A558:H604" totalsRowShown="0">
  <autoFilter ref="A558:H604" xr:uid="{00000000-0009-0000-0100-000022000000}"/>
  <tableColumns count="8">
    <tableColumn id="1" xr3:uid="{00000000-0010-0000-3700-000001000000}" name="&quot;L12&quot; PLANT" dataDxfId="453"/>
    <tableColumn id="2" xr3:uid="{00000000-0010-0000-3700-000002000000}" name="Height (mm)" dataDxfId="452"/>
    <tableColumn id="3" xr3:uid="{00000000-0010-0000-3700-000003000000}" name="Width (mm)" dataDxfId="451"/>
    <tableColumn id="4" xr3:uid="{00000000-0010-0000-3700-000004000000}" name="Weight (g)" dataDxfId="450"/>
    <tableColumn id="5" xr3:uid="{00000000-0010-0000-3700-000005000000}" name="Cluster number " dataDxfId="449"/>
    <tableColumn id="6" xr3:uid="{00000000-0010-0000-3700-000006000000}" name="Color" dataDxfId="448"/>
    <tableColumn id="7" xr3:uid="{00000000-0010-0000-3700-000007000000}" name="Total cluster weight (g)" dataDxfId="447"/>
    <tableColumn id="8" xr3:uid="{00000000-0010-0000-3700-000008000000}" name="Tomato average weight per cluster" dataDxfId="446"/>
  </tableColumns>
  <tableStyleInfo name="TableStyleMedium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38000000}" name="Tabla26916" displayName="Tabla26916" ref="A609:H652" totalsRowShown="0" dataDxfId="445">
  <autoFilter ref="A609:H652" xr:uid="{00000000-0009-0000-0100-000023000000}"/>
  <tableColumns count="8">
    <tableColumn id="1" xr3:uid="{00000000-0010-0000-3800-000001000000}" name="&quot;L13&quot; PLANT" dataDxfId="444"/>
    <tableColumn id="2" xr3:uid="{00000000-0010-0000-3800-000002000000}" name="Height (mm)" dataDxfId="443"/>
    <tableColumn id="3" xr3:uid="{00000000-0010-0000-3800-000003000000}" name="Width (mm)" dataDxfId="442"/>
    <tableColumn id="4" xr3:uid="{00000000-0010-0000-3800-000004000000}" name="Weight (g)" dataDxfId="441"/>
    <tableColumn id="5" xr3:uid="{00000000-0010-0000-3800-000005000000}" name="Cluster number " dataDxfId="440"/>
    <tableColumn id="6" xr3:uid="{00000000-0010-0000-3800-000006000000}" name="Color" dataDxfId="439"/>
    <tableColumn id="7" xr3:uid="{00000000-0010-0000-3800-000007000000}" name="Total cluster weight (g)" dataDxfId="438"/>
    <tableColumn id="8" xr3:uid="{00000000-0010-0000-3800-000008000000}" name="Tomato average weight per cluster" dataDxfId="437"/>
  </tableColumns>
  <tableStyleInfo name="TableStyleMedium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39000000}" name="Tabla2691617" displayName="Tabla2691617" ref="A657:H702" totalsRowShown="0" dataDxfId="436">
  <autoFilter ref="A657:H702" xr:uid="{00000000-0009-0000-0100-000024000000}"/>
  <tableColumns count="8">
    <tableColumn id="1" xr3:uid="{00000000-0010-0000-3900-000001000000}" name="&quot;L14&quot; PLANT" dataDxfId="435"/>
    <tableColumn id="2" xr3:uid="{00000000-0010-0000-3900-000002000000}" name="Height (mm)" dataDxfId="434"/>
    <tableColumn id="3" xr3:uid="{00000000-0010-0000-3900-000003000000}" name="Width (mm)" dataDxfId="433"/>
    <tableColumn id="4" xr3:uid="{00000000-0010-0000-3900-000004000000}" name="Weight (g)" dataDxfId="432"/>
    <tableColumn id="5" xr3:uid="{00000000-0010-0000-3900-000005000000}" name="Cluster number " dataDxfId="431"/>
    <tableColumn id="6" xr3:uid="{00000000-0010-0000-3900-000006000000}" name="Color" dataDxfId="430"/>
    <tableColumn id="7" xr3:uid="{00000000-0010-0000-3900-000007000000}" name="Total cluster weight (g)" dataDxfId="429"/>
    <tableColumn id="8" xr3:uid="{00000000-0010-0000-3900-000008000000}" name="Tomato average weight per cluster" dataDxfId="428"/>
  </tableColumns>
  <tableStyleInfo name="TableStyleMedium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3A000000}" name="Tabla2691618" displayName="Tabla2691618" ref="A707:H746" totalsRowShown="0" dataDxfId="427">
  <autoFilter ref="A707:H746" xr:uid="{00000000-0009-0000-0100-000025000000}"/>
  <tableColumns count="8">
    <tableColumn id="1" xr3:uid="{00000000-0010-0000-3A00-000001000000}" name="&quot;L15&quot; PLANT" dataDxfId="426"/>
    <tableColumn id="2" xr3:uid="{00000000-0010-0000-3A00-000002000000}" name="Height (mm)" dataDxfId="425"/>
    <tableColumn id="3" xr3:uid="{00000000-0010-0000-3A00-000003000000}" name="Width (mm)" dataDxfId="424"/>
    <tableColumn id="4" xr3:uid="{00000000-0010-0000-3A00-000004000000}" name="Weight (g)" dataDxfId="423"/>
    <tableColumn id="5" xr3:uid="{00000000-0010-0000-3A00-000005000000}" name="Cluster number " dataDxfId="422"/>
    <tableColumn id="6" xr3:uid="{00000000-0010-0000-3A00-000006000000}" name="Color" dataDxfId="421"/>
    <tableColumn id="7" xr3:uid="{00000000-0010-0000-3A00-000007000000}" name="Total cluster weight (g)" dataDxfId="420"/>
    <tableColumn id="8" xr3:uid="{00000000-0010-0000-3A00-000008000000}" name="Tomato average weight per cluster" dataDxfId="419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269957" displayName="Tabla269957" ref="A252:H292" totalsRowShown="0">
  <autoFilter ref="A252:H292" xr:uid="{00000000-0009-0000-0100-000006000000}"/>
  <tableColumns count="8">
    <tableColumn id="1" xr3:uid="{00000000-0010-0000-0500-000001000000}" name="&quot;C6&quot; PLANT" dataDxfId="946"/>
    <tableColumn id="2" xr3:uid="{00000000-0010-0000-0500-000002000000}" name="Height (mm)" dataDxfId="945"/>
    <tableColumn id="3" xr3:uid="{00000000-0010-0000-0500-000003000000}" name="Width (mm)" dataDxfId="944"/>
    <tableColumn id="4" xr3:uid="{00000000-0010-0000-0500-000004000000}" name="Weight (g)" dataDxfId="943"/>
    <tableColumn id="5" xr3:uid="{00000000-0010-0000-0500-000005000000}" name="Cluster number " dataDxfId="942"/>
    <tableColumn id="6" xr3:uid="{00000000-0010-0000-0500-000006000000}" name="Color" dataDxfId="941"/>
    <tableColumn id="7" xr3:uid="{00000000-0010-0000-0500-000007000000}" name="Total cluster weight (g)" dataDxfId="940"/>
    <tableColumn id="8" xr3:uid="{00000000-0010-0000-0500-000008000000}" name="Tomato average weight per cluster" dataDxfId="939"/>
  </tableColumns>
  <tableStyleInfo name="TableStyleMedium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3B000000}" name="Tabla2691619" displayName="Tabla2691619" ref="A751:H806" totalsRowShown="0" dataDxfId="418">
  <autoFilter ref="A751:H806" xr:uid="{00000000-0009-0000-0100-000026000000}"/>
  <tableColumns count="8">
    <tableColumn id="1" xr3:uid="{00000000-0010-0000-3B00-000001000000}" name="&quot;L16&quot; PLANT" dataDxfId="417"/>
    <tableColumn id="2" xr3:uid="{00000000-0010-0000-3B00-000002000000}" name="Height (mm)" dataDxfId="416"/>
    <tableColumn id="3" xr3:uid="{00000000-0010-0000-3B00-000003000000}" name="Width (mm)" dataDxfId="415"/>
    <tableColumn id="4" xr3:uid="{00000000-0010-0000-3B00-000004000000}" name="Weight (g)" dataDxfId="414"/>
    <tableColumn id="5" xr3:uid="{00000000-0010-0000-3B00-000005000000}" name="Cluster number " dataDxfId="413"/>
    <tableColumn id="6" xr3:uid="{00000000-0010-0000-3B00-000006000000}" name="Color" dataDxfId="412"/>
    <tableColumn id="7" xr3:uid="{00000000-0010-0000-3B00-000007000000}" name="Total cluster weight (g)" dataDxfId="411"/>
    <tableColumn id="8" xr3:uid="{00000000-0010-0000-3B00-000008000000}" name="Tomato average weight per cluster" dataDxfId="410"/>
  </tableColumns>
  <tableStyleInfo name="TableStyleMedium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3C000000}" name="Tabla2691620" displayName="Tabla2691620" ref="A811:H857" totalsRowShown="0">
  <autoFilter ref="A811:H857" xr:uid="{00000000-0009-0000-0100-000027000000}"/>
  <tableColumns count="8">
    <tableColumn id="1" xr3:uid="{00000000-0010-0000-3C00-000001000000}" name="&quot;L17&quot; PLANT" dataDxfId="409"/>
    <tableColumn id="2" xr3:uid="{00000000-0010-0000-3C00-000002000000}" name="Height (mm)" dataDxfId="408"/>
    <tableColumn id="3" xr3:uid="{00000000-0010-0000-3C00-000003000000}" name="Width (mm)" dataDxfId="407"/>
    <tableColumn id="4" xr3:uid="{00000000-0010-0000-3C00-000004000000}" name="Weight (g)" dataDxfId="406"/>
    <tableColumn id="5" xr3:uid="{00000000-0010-0000-3C00-000005000000}" name="Cluster number " dataDxfId="405"/>
    <tableColumn id="6" xr3:uid="{00000000-0010-0000-3C00-000006000000}" name="Color" dataDxfId="404"/>
    <tableColumn id="7" xr3:uid="{00000000-0010-0000-3C00-000007000000}" name="Total cluster weight (g)" dataDxfId="403"/>
    <tableColumn id="8" xr3:uid="{00000000-0010-0000-3C00-000008000000}" name="Tomato average weight per cluster" dataDxfId="402"/>
  </tableColumns>
  <tableStyleInfo name="TableStyleMedium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3D000000}" name="Tabla2691621" displayName="Tabla2691621" ref="A862:H900" totalsRowShown="0" dataDxfId="401">
  <autoFilter ref="A862:H900" xr:uid="{00000000-0009-0000-0100-000028000000}"/>
  <tableColumns count="8">
    <tableColumn id="1" xr3:uid="{00000000-0010-0000-3D00-000001000000}" name="&quot;L18&quot; PLANT" dataDxfId="400"/>
    <tableColumn id="2" xr3:uid="{00000000-0010-0000-3D00-000002000000}" name="Height (mm)" dataDxfId="399"/>
    <tableColumn id="3" xr3:uid="{00000000-0010-0000-3D00-000003000000}" name="Width (mm)" dataDxfId="398"/>
    <tableColumn id="4" xr3:uid="{00000000-0010-0000-3D00-000004000000}" name="Weight (g)" dataDxfId="397"/>
    <tableColumn id="5" xr3:uid="{00000000-0010-0000-3D00-000005000000}" name="Cluster number " dataDxfId="396"/>
    <tableColumn id="6" xr3:uid="{00000000-0010-0000-3D00-000006000000}" name="Color" dataDxfId="395"/>
    <tableColumn id="7" xr3:uid="{00000000-0010-0000-3D00-000007000000}" name="Total cluster weight (g)" dataDxfId="394"/>
    <tableColumn id="8" xr3:uid="{00000000-0010-0000-3D00-000008000000}" name="Tomato average weight per cluster" dataDxfId="393"/>
  </tableColumns>
  <tableStyleInfo name="TableStyleMedium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3E000000}" name="Tabla2691622" displayName="Tabla2691622" ref="A905:H952" totalsRowShown="0" dataDxfId="392">
  <autoFilter ref="A905:H952" xr:uid="{00000000-0009-0000-0100-000029000000}"/>
  <tableColumns count="8">
    <tableColumn id="1" xr3:uid="{00000000-0010-0000-3E00-000001000000}" name="&quot;L19&quot; PLANT" dataDxfId="391"/>
    <tableColumn id="2" xr3:uid="{00000000-0010-0000-3E00-000002000000}" name="Height (mm)" dataDxfId="390"/>
    <tableColumn id="3" xr3:uid="{00000000-0010-0000-3E00-000003000000}" name="Width (mm)" dataDxfId="389"/>
    <tableColumn id="4" xr3:uid="{00000000-0010-0000-3E00-000004000000}" name="Weight (g)" dataDxfId="388"/>
    <tableColumn id="5" xr3:uid="{00000000-0010-0000-3E00-000005000000}" name="Cluster number " dataDxfId="387"/>
    <tableColumn id="6" xr3:uid="{00000000-0010-0000-3E00-000006000000}" name="Color" dataDxfId="386"/>
    <tableColumn id="7" xr3:uid="{00000000-0010-0000-3E00-000007000000}" name="Total cluster weight (g)" dataDxfId="385"/>
    <tableColumn id="8" xr3:uid="{00000000-0010-0000-3E00-000008000000}" name="Tomato average weight per cluster" dataDxfId="384"/>
  </tableColumns>
  <tableStyleInfo name="TableStyleMedium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3F000000}" name="Tabla2691623" displayName="Tabla2691623" ref="A957:H1012" totalsRowShown="0" dataDxfId="383">
  <autoFilter ref="A957:H1012" xr:uid="{00000000-0009-0000-0100-00002A000000}"/>
  <tableColumns count="8">
    <tableColumn id="1" xr3:uid="{00000000-0010-0000-3F00-000001000000}" name="&quot;L20&quot; PLANT" dataDxfId="382"/>
    <tableColumn id="2" xr3:uid="{00000000-0010-0000-3F00-000002000000}" name="Height (mm)" dataDxfId="381"/>
    <tableColumn id="3" xr3:uid="{00000000-0010-0000-3F00-000003000000}" name="Width (mm)" dataDxfId="380"/>
    <tableColumn id="4" xr3:uid="{00000000-0010-0000-3F00-000004000000}" name="Weight (g)" dataDxfId="379"/>
    <tableColumn id="5" xr3:uid="{00000000-0010-0000-3F00-000005000000}" name="Cluster number " dataDxfId="378"/>
    <tableColumn id="6" xr3:uid="{00000000-0010-0000-3F00-000006000000}" name="Color" dataDxfId="377"/>
    <tableColumn id="7" xr3:uid="{00000000-0010-0000-3F00-000007000000}" name="Total cluster weight (g)" dataDxfId="376"/>
    <tableColumn id="8" xr3:uid="{00000000-0010-0000-3F00-000008000000}" name="Tomato average weight per cluster" dataDxfId="375"/>
  </tableColumns>
  <tableStyleInfo name="TableStyleMedium1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40000000}" name="Tabla2691624" displayName="Tabla2691624" ref="A1017:H1066" totalsRowShown="0" dataDxfId="374">
  <autoFilter ref="A1017:H1066" xr:uid="{00000000-0009-0000-0100-00002B000000}"/>
  <tableColumns count="8">
    <tableColumn id="1" xr3:uid="{00000000-0010-0000-4000-000001000000}" name="&quot;L21&quot; PLANT" dataDxfId="373"/>
    <tableColumn id="2" xr3:uid="{00000000-0010-0000-4000-000002000000}" name="Height (mm)" dataDxfId="372"/>
    <tableColumn id="3" xr3:uid="{00000000-0010-0000-4000-000003000000}" name="Width (mm)" dataDxfId="371"/>
    <tableColumn id="4" xr3:uid="{00000000-0010-0000-4000-000004000000}" name="Weight (g)" dataDxfId="370"/>
    <tableColumn id="5" xr3:uid="{00000000-0010-0000-4000-000005000000}" name="Cluster number " dataDxfId="369"/>
    <tableColumn id="6" xr3:uid="{00000000-0010-0000-4000-000006000000}" name="Color" dataDxfId="368"/>
    <tableColumn id="7" xr3:uid="{00000000-0010-0000-4000-000007000000}" name="Total cluster weight (g)" dataDxfId="367"/>
    <tableColumn id="8" xr3:uid="{00000000-0010-0000-4000-000008000000}" name="Tomato average weight per cluster" dataDxfId="366"/>
  </tableColumns>
  <tableStyleInfo name="TableStyleMedium1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41000000}" name="Tabla2691625" displayName="Tabla2691625" ref="A1071:H1116" totalsRowShown="0" dataDxfId="365">
  <autoFilter ref="A1071:H1116" xr:uid="{00000000-0009-0000-0100-00002C000000}"/>
  <tableColumns count="8">
    <tableColumn id="1" xr3:uid="{00000000-0010-0000-4100-000001000000}" name="&quot;L22&quot; PLANT" dataDxfId="364"/>
    <tableColumn id="2" xr3:uid="{00000000-0010-0000-4100-000002000000}" name="Height (mm)" dataDxfId="363"/>
    <tableColumn id="3" xr3:uid="{00000000-0010-0000-4100-000003000000}" name="Width (mm)" dataDxfId="362"/>
    <tableColumn id="4" xr3:uid="{00000000-0010-0000-4100-000004000000}" name="Weight (g)" dataDxfId="361"/>
    <tableColumn id="5" xr3:uid="{00000000-0010-0000-4100-000005000000}" name="Cluster number* " dataDxfId="360"/>
    <tableColumn id="6" xr3:uid="{00000000-0010-0000-4100-000006000000}" name="Color" dataDxfId="359"/>
    <tableColumn id="7" xr3:uid="{00000000-0010-0000-4100-000007000000}" name="Total cluster weight (g)" dataDxfId="358"/>
    <tableColumn id="8" xr3:uid="{00000000-0010-0000-4100-000008000000}" name="Tomato average weight per cluster" dataDxfId="357"/>
  </tableColumns>
  <tableStyleInfo name="TableStyleMedium1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42000000}" name="Tabla26916252" displayName="Tabla26916252" ref="A1121:H1158" totalsRowShown="0" dataDxfId="356">
  <autoFilter ref="A1121:H1158" xr:uid="{00000000-0009-0000-0100-00002D000000}"/>
  <tableColumns count="8">
    <tableColumn id="1" xr3:uid="{00000000-0010-0000-4200-000001000000}" name="&quot;L23&quot; PLANT" dataDxfId="355"/>
    <tableColumn id="2" xr3:uid="{00000000-0010-0000-4200-000002000000}" name="Height (mm)" dataDxfId="354"/>
    <tableColumn id="3" xr3:uid="{00000000-0010-0000-4200-000003000000}" name="Width (mm)" dataDxfId="353"/>
    <tableColumn id="4" xr3:uid="{00000000-0010-0000-4200-000004000000}" name="Weight (g)" dataDxfId="352"/>
    <tableColumn id="5" xr3:uid="{00000000-0010-0000-4200-000005000000}" name="Cluster number *" dataDxfId="351"/>
    <tableColumn id="6" xr3:uid="{00000000-0010-0000-4200-000006000000}" name="Color" dataDxfId="350"/>
    <tableColumn id="7" xr3:uid="{00000000-0010-0000-4200-000007000000}" name="Total cluster weight (g)" dataDxfId="349"/>
    <tableColumn id="8" xr3:uid="{00000000-0010-0000-4200-000008000000}" name="Tomato average weight per cluster" dataDxfId="348"/>
  </tableColumns>
  <tableStyleInfo name="TableStyleMedium1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43000000}" name="Tabla70102" displayName="Tabla70102" ref="A47:G48" totalsRowShown="0" headerRowDxfId="347" dataDxfId="345" headerRowBorderDxfId="346" tableBorderDxfId="344" totalsRowBorderDxfId="343">
  <autoFilter ref="A47:G48" xr:uid="{00000000-0009-0000-0100-000065000000}"/>
  <tableColumns count="7">
    <tableColumn id="1" xr3:uid="{00000000-0010-0000-4300-000001000000}" name="PLANT L1" dataDxfId="342"/>
    <tableColumn id="2" xr3:uid="{00000000-0010-0000-4300-000002000000}" name="Average  height (mm)" dataDxfId="341">
      <calculatedColumnFormula>AVERAGE(Tabla269[Height (mm)])</calculatedColumnFormula>
    </tableColumn>
    <tableColumn id="3" xr3:uid="{00000000-0010-0000-4300-000003000000}" name="Average width (mm)" dataDxfId="340">
      <calculatedColumnFormula>AVERAGE(Tabla269[Width (mm)])</calculatedColumnFormula>
    </tableColumn>
    <tableColumn id="4" xr3:uid="{00000000-0010-0000-4300-000004000000}" name="Total clusters number" dataDxfId="339">
      <calculatedColumnFormula>MAX(Tabla269[[Cluster number ]])</calculatedColumnFormula>
    </tableColumn>
    <tableColumn id="5" xr3:uid="{00000000-0010-0000-4300-000005000000}" name="Tomato average weight per plant" dataDxfId="338">
      <calculatedColumnFormula>AVERAGE(Tabla269[Tomato average weight per cluster])</calculatedColumnFormula>
    </tableColumn>
    <tableColumn id="6" xr3:uid="{00000000-0010-0000-4300-000006000000}" name="Total number of tomatoes " dataDxfId="337">
      <calculatedColumnFormula>COUNTA(Tabla269["L1" PLANT])</calculatedColumnFormula>
    </tableColumn>
    <tableColumn id="7" xr3:uid="{00000000-0010-0000-4300-000007000000}" name="Total weight (g)" dataDxfId="336">
      <calculatedColumnFormula>SUM(Tabla269[Total cluster weight (g)])</calculatedColumnFormula>
    </tableColumn>
  </tableColumns>
  <tableStyleInfo name="TableStyleMedium2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44000000}" name="Tabla70102103" displayName="Tabla70102103" ref="A100:G101" totalsRowShown="0" headerRowDxfId="335" dataDxfId="333" headerRowBorderDxfId="334" tableBorderDxfId="332" totalsRowBorderDxfId="331">
  <autoFilter ref="A100:G101" xr:uid="{00000000-0009-0000-0100-000066000000}"/>
  <tableColumns count="7">
    <tableColumn id="1" xr3:uid="{00000000-0010-0000-4400-000001000000}" name="PLANT L2" dataDxfId="330"/>
    <tableColumn id="2" xr3:uid="{00000000-0010-0000-4400-000002000000}" name="Average  height (mm)" dataDxfId="329">
      <calculatedColumnFormula>AVERAGE(Tabla2695[Height (mm)])</calculatedColumnFormula>
    </tableColumn>
    <tableColumn id="3" xr3:uid="{00000000-0010-0000-4400-000003000000}" name="Average width (mm)" dataDxfId="328">
      <calculatedColumnFormula>AVERAGE(Tabla2695[Width (mm)])</calculatedColumnFormula>
    </tableColumn>
    <tableColumn id="4" xr3:uid="{00000000-0010-0000-4400-000004000000}" name="Total clusters number" dataDxfId="327">
      <calculatedColumnFormula>MAX(Tabla2695[[Cluster number ]])</calculatedColumnFormula>
    </tableColumn>
    <tableColumn id="5" xr3:uid="{00000000-0010-0000-4400-000005000000}" name="Tomato average weight per plant" dataDxfId="326">
      <calculatedColumnFormula>AVERAGE(Tabla2695[Tomato average weight per cluster])</calculatedColumnFormula>
    </tableColumn>
    <tableColumn id="6" xr3:uid="{00000000-0010-0000-4400-000006000000}" name="Total number of tomatoes " dataDxfId="325">
      <calculatedColumnFormula>COUNTA(Tabla2695["L2" PLANT])</calculatedColumnFormula>
    </tableColumn>
    <tableColumn id="7" xr3:uid="{00000000-0010-0000-4400-000007000000}" name="Total weight (g)" dataDxfId="324">
      <calculatedColumnFormula>SUM(Tabla2695[Total cluster weight (g)])</calculatedColumnFormula>
    </tableColumn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2691058" displayName="Tabla2691058" ref="A297:H332" totalsRowShown="0">
  <autoFilter ref="A297:H332" xr:uid="{00000000-0009-0000-0100-000007000000}"/>
  <tableColumns count="8">
    <tableColumn id="1" xr3:uid="{00000000-0010-0000-0600-000001000000}" name="&quot;C7&quot; PLANT" dataDxfId="938"/>
    <tableColumn id="2" xr3:uid="{00000000-0010-0000-0600-000002000000}" name="Height (mm)" dataDxfId="937"/>
    <tableColumn id="3" xr3:uid="{00000000-0010-0000-0600-000003000000}" name="Width (mm)" dataDxfId="936"/>
    <tableColumn id="4" xr3:uid="{00000000-0010-0000-0600-000004000000}" name="Weight (g)" dataDxfId="935"/>
    <tableColumn id="5" xr3:uid="{00000000-0010-0000-0600-000005000000}" name="Cluster number " dataDxfId="934"/>
    <tableColumn id="6" xr3:uid="{00000000-0010-0000-0600-000006000000}" name="Color" dataDxfId="933"/>
    <tableColumn id="7" xr3:uid="{00000000-0010-0000-0600-000007000000}" name="Total cluster weight (g)" dataDxfId="932"/>
    <tableColumn id="8" xr3:uid="{00000000-0010-0000-0600-000008000000}" name="Tomato average weight per cluster" dataDxfId="931"/>
  </tableColumns>
  <tableStyleInfo name="TableStyleMedium1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45000000}" name="Tabla70102104" displayName="Tabla70102104" ref="A158:G159" totalsRowShown="0" headerRowDxfId="323" dataDxfId="321" headerRowBorderDxfId="322" tableBorderDxfId="320" totalsRowBorderDxfId="319">
  <autoFilter ref="A158:G159" xr:uid="{00000000-0009-0000-0100-000067000000}"/>
  <tableColumns count="7">
    <tableColumn id="1" xr3:uid="{00000000-0010-0000-4500-000001000000}" name="PLANT L3" dataDxfId="318"/>
    <tableColumn id="2" xr3:uid="{00000000-0010-0000-4500-000002000000}" name="Average  height (mm)" dataDxfId="317">
      <calculatedColumnFormula>AVERAGE(Tabla2696[Height (mm)])</calculatedColumnFormula>
    </tableColumn>
    <tableColumn id="3" xr3:uid="{00000000-0010-0000-4500-000003000000}" name="Average width (mm)" dataDxfId="316">
      <calculatedColumnFormula>AVERAGE(Tabla2696[Width (mm)])</calculatedColumnFormula>
    </tableColumn>
    <tableColumn id="4" xr3:uid="{00000000-0010-0000-4500-000004000000}" name="Total clusters number" dataDxfId="315">
      <calculatedColumnFormula>MAX(Tabla2696[[Cluster number ]])</calculatedColumnFormula>
    </tableColumn>
    <tableColumn id="5" xr3:uid="{00000000-0010-0000-4500-000005000000}" name="Tomato average weight per plant" dataDxfId="314">
      <calculatedColumnFormula>AVERAGE(Tabla2696[Tomato average weight per cluster])</calculatedColumnFormula>
    </tableColumn>
    <tableColumn id="6" xr3:uid="{00000000-0010-0000-4500-000006000000}" name="Total number of tomatoes " dataDxfId="313">
      <calculatedColumnFormula>COUNTA(Tabla2696["L3" PLANT])</calculatedColumnFormula>
    </tableColumn>
    <tableColumn id="7" xr3:uid="{00000000-0010-0000-4500-000007000000}" name="Total weight (g)" dataDxfId="312">
      <calculatedColumnFormula>SUM(Tabla2696[Total cluster weight (g)])</calculatedColumnFormula>
    </tableColumn>
  </tableColumns>
  <tableStyleInfo name="TableStyleMedium2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46000000}" name="Tabla70102105" displayName="Tabla70102105" ref="A212:G213" totalsRowShown="0" headerRowDxfId="311" dataDxfId="309" headerRowBorderDxfId="310" tableBorderDxfId="308" totalsRowBorderDxfId="307">
  <autoFilter ref="A212:G213" xr:uid="{00000000-0009-0000-0100-000068000000}"/>
  <tableColumns count="7">
    <tableColumn id="1" xr3:uid="{00000000-0010-0000-4600-000001000000}" name="PLANT L4" dataDxfId="306"/>
    <tableColumn id="2" xr3:uid="{00000000-0010-0000-4600-000002000000}" name="Average  height (mm)" dataDxfId="305">
      <calculatedColumnFormula>AVERAGE(Tabla2697[Height (mm)])</calculatedColumnFormula>
    </tableColumn>
    <tableColumn id="3" xr3:uid="{00000000-0010-0000-4600-000003000000}" name="Average width (mm)" dataDxfId="304">
      <calculatedColumnFormula>AVERAGE(Tabla2697[Width (mm)])</calculatedColumnFormula>
    </tableColumn>
    <tableColumn id="4" xr3:uid="{00000000-0010-0000-4600-000004000000}" name="Total clusters number" dataDxfId="303">
      <calculatedColumnFormula>MAX(Tabla2697[[Cluster number ]])</calculatedColumnFormula>
    </tableColumn>
    <tableColumn id="5" xr3:uid="{00000000-0010-0000-4600-000005000000}" name="Tomato average weight per plant" dataDxfId="302">
      <calculatedColumnFormula>AVERAGE(Tabla2697[Tomato average weight per cluster])</calculatedColumnFormula>
    </tableColumn>
    <tableColumn id="6" xr3:uid="{00000000-0010-0000-4600-000006000000}" name="Total number of tomatoes " dataDxfId="301">
      <calculatedColumnFormula>COUNTA(Tabla2697["L4" PLANT])</calculatedColumnFormula>
    </tableColumn>
    <tableColumn id="7" xr3:uid="{00000000-0010-0000-4600-000007000000}" name="Total weight (g)" dataDxfId="300">
      <calculatedColumnFormula>SUM(Tabla2697[Total cluster weight (g)])</calculatedColumnFormula>
    </tableColumn>
  </tableColumns>
  <tableStyleInfo name="TableStyleMedium2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47000000}" name="Tabla70102106" displayName="Tabla70102106" ref="A267:G268" totalsRowShown="0" headerRowDxfId="299" dataDxfId="297" headerRowBorderDxfId="298" tableBorderDxfId="296" totalsRowBorderDxfId="295">
  <autoFilter ref="A267:G268" xr:uid="{00000000-0009-0000-0100-000069000000}"/>
  <tableColumns count="7">
    <tableColumn id="1" xr3:uid="{00000000-0010-0000-4700-000001000000}" name="PLANT L5" dataDxfId="294"/>
    <tableColumn id="2" xr3:uid="{00000000-0010-0000-4700-000002000000}" name="Average  height (mm)" dataDxfId="293">
      <calculatedColumnFormula>AVERAGE(Tabla2698[Height (mm)])</calculatedColumnFormula>
    </tableColumn>
    <tableColumn id="3" xr3:uid="{00000000-0010-0000-4700-000003000000}" name="Average width (mm)" dataDxfId="292">
      <calculatedColumnFormula>AVERAGE(Tabla2698[Width (mm)])</calculatedColumnFormula>
    </tableColumn>
    <tableColumn id="4" xr3:uid="{00000000-0010-0000-4700-000004000000}" name="Total clusters number" dataDxfId="291">
      <calculatedColumnFormula>MAX(Tabla2698[[Cluster number ]])</calculatedColumnFormula>
    </tableColumn>
    <tableColumn id="5" xr3:uid="{00000000-0010-0000-4700-000005000000}" name="Tomato average weight per plant" dataDxfId="290">
      <calculatedColumnFormula>AVERAGE(Tabla2698[Tomato average weight per cluster])</calculatedColumnFormula>
    </tableColumn>
    <tableColumn id="6" xr3:uid="{00000000-0010-0000-4700-000006000000}" name="Total number of tomatoes " dataDxfId="289">
      <calculatedColumnFormula>COUNTA(Tabla2698["L5" PLANT])</calculatedColumnFormula>
    </tableColumn>
    <tableColumn id="7" xr3:uid="{00000000-0010-0000-4700-000007000000}" name="Total weight (g)" dataDxfId="288">
      <calculatedColumnFormula>SUM(Tabla2698[Total cluster weight (g)])</calculatedColumnFormula>
    </tableColumn>
  </tableColumns>
  <tableStyleInfo name="TableStyleMedium2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48000000}" name="Tabla70102107" displayName="Tabla70102107" ref="A312:G313" totalsRowShown="0" headerRowDxfId="287" dataDxfId="285" headerRowBorderDxfId="286" tableBorderDxfId="284" totalsRowBorderDxfId="283">
  <autoFilter ref="A312:G313" xr:uid="{00000000-0009-0000-0100-00006A000000}"/>
  <tableColumns count="7">
    <tableColumn id="1" xr3:uid="{00000000-0010-0000-4800-000001000000}" name="PLANT L6" dataDxfId="282"/>
    <tableColumn id="2" xr3:uid="{00000000-0010-0000-4800-000002000000}" name="Average  height (mm)" dataDxfId="281">
      <calculatedColumnFormula>AVERAGE(Tabla2699[Height (mm)])</calculatedColumnFormula>
    </tableColumn>
    <tableColumn id="3" xr3:uid="{00000000-0010-0000-4800-000003000000}" name="Average width (mm)" dataDxfId="280">
      <calculatedColumnFormula>AVERAGE(Tabla2699[Width (mm)])</calculatedColumnFormula>
    </tableColumn>
    <tableColumn id="4" xr3:uid="{00000000-0010-0000-4800-000004000000}" name="Total clusters number" dataDxfId="279">
      <calculatedColumnFormula>MAX(Tabla2699[[Cluster number ]])</calculatedColumnFormula>
    </tableColumn>
    <tableColumn id="5" xr3:uid="{00000000-0010-0000-4800-000005000000}" name="Tomato average weight per plant" dataDxfId="278">
      <calculatedColumnFormula>AVERAGE(Tabla2699[Tomato average weight per cluster])</calculatedColumnFormula>
    </tableColumn>
    <tableColumn id="6" xr3:uid="{00000000-0010-0000-4800-000006000000}" name="Total number of tomatoes " dataDxfId="277">
      <calculatedColumnFormula>COUNTA(Tabla2699["L6" PLANT])</calculatedColumnFormula>
    </tableColumn>
    <tableColumn id="7" xr3:uid="{00000000-0010-0000-4800-000007000000}" name="Total weight (g)" dataDxfId="276">
      <calculatedColumnFormula>SUM(Tabla2699[Total cluster weight (g)])</calculatedColumnFormula>
    </tableColumn>
  </tableColumns>
  <tableStyleInfo name="TableStyleMedium2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49000000}" name="Tabla70102108" displayName="Tabla70102108" ref="A358:G359" totalsRowShown="0" headerRowDxfId="275" dataDxfId="273" headerRowBorderDxfId="274" tableBorderDxfId="272" totalsRowBorderDxfId="271">
  <autoFilter ref="A358:G359" xr:uid="{00000000-0009-0000-0100-00006B000000}"/>
  <tableColumns count="7">
    <tableColumn id="1" xr3:uid="{00000000-0010-0000-4900-000001000000}" name="PLANT L7" dataDxfId="270"/>
    <tableColumn id="2" xr3:uid="{00000000-0010-0000-4900-000002000000}" name="Average  height (mm)" dataDxfId="269">
      <calculatedColumnFormula>AVERAGE(Tabla26910[Height (mm)])</calculatedColumnFormula>
    </tableColumn>
    <tableColumn id="3" xr3:uid="{00000000-0010-0000-4900-000003000000}" name="Average width (mm)" dataDxfId="268">
      <calculatedColumnFormula>AVERAGE(Tabla26910[Width (mm)])</calculatedColumnFormula>
    </tableColumn>
    <tableColumn id="4" xr3:uid="{00000000-0010-0000-4900-000004000000}" name="Total clusters number" dataDxfId="267">
      <calculatedColumnFormula>MAX(Tabla26910[[Cluster number ]])</calculatedColumnFormula>
    </tableColumn>
    <tableColumn id="5" xr3:uid="{00000000-0010-0000-4900-000005000000}" name="Tomato average weight per plant" dataDxfId="266">
      <calculatedColumnFormula>AVERAGE(Tabla26910[Tomato average weight per cluster])</calculatedColumnFormula>
    </tableColumn>
    <tableColumn id="6" xr3:uid="{00000000-0010-0000-4900-000006000000}" name="Total number of tomatoes " dataDxfId="265">
      <calculatedColumnFormula>COUNTA(Tabla26910["L7" PLANT])</calculatedColumnFormula>
    </tableColumn>
    <tableColumn id="7" xr3:uid="{00000000-0010-0000-4900-000007000000}" name="Total weight (g)" dataDxfId="264">
      <calculatedColumnFormula>SUM(Tabla26910[Total cluster weight (g)])</calculatedColumnFormula>
    </tableColumn>
  </tableColumns>
  <tableStyleInfo name="TableStyleMedium2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4A000000}" name="Tabla70102109" displayName="Tabla70102109" ref="A406:G407" totalsRowShown="0" headerRowDxfId="263" dataDxfId="261" headerRowBorderDxfId="262" tableBorderDxfId="260" totalsRowBorderDxfId="259">
  <autoFilter ref="A406:G407" xr:uid="{00000000-0009-0000-0100-00006C000000}"/>
  <tableColumns count="7">
    <tableColumn id="1" xr3:uid="{00000000-0010-0000-4A00-000001000000}" name="PLANT L8" dataDxfId="258"/>
    <tableColumn id="2" xr3:uid="{00000000-0010-0000-4A00-000002000000}" name="Average  height (mm)" dataDxfId="257">
      <calculatedColumnFormula>AVERAGE(Tabla26911[Height (mm)])</calculatedColumnFormula>
    </tableColumn>
    <tableColumn id="3" xr3:uid="{00000000-0010-0000-4A00-000003000000}" name="Average width (mm)" dataDxfId="256">
      <calculatedColumnFormula>AVERAGE(Tabla26911[Width (mm)])</calculatedColumnFormula>
    </tableColumn>
    <tableColumn id="4" xr3:uid="{00000000-0010-0000-4A00-000004000000}" name="Total clusters number" dataDxfId="255">
      <calculatedColumnFormula>MAX(Tabla26911[[Cluster number ]])</calculatedColumnFormula>
    </tableColumn>
    <tableColumn id="5" xr3:uid="{00000000-0010-0000-4A00-000005000000}" name="Tomato average weight per plant" dataDxfId="254">
      <calculatedColumnFormula>AVERAGE(Tabla26911[Tomato average weight per cluster])</calculatedColumnFormula>
    </tableColumn>
    <tableColumn id="6" xr3:uid="{00000000-0010-0000-4A00-000006000000}" name="Total number of tomatoes " dataDxfId="253">
      <calculatedColumnFormula>COUNTA(Tabla26911["L8" PLANT])</calculatedColumnFormula>
    </tableColumn>
    <tableColumn id="7" xr3:uid="{00000000-0010-0000-4A00-000007000000}" name="Total weight (g)" dataDxfId="252">
      <calculatedColumnFormula>SUM(Tabla26911[Total cluster weight (g)])</calculatedColumnFormula>
    </tableColumn>
  </tableColumns>
  <tableStyleInfo name="TableStyleMedium2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4B000000}" name="Tabla70102110" displayName="Tabla70102110" ref="A452:G453" totalsRowShown="0" headerRowDxfId="251" dataDxfId="249" headerRowBorderDxfId="250" tableBorderDxfId="248" totalsRowBorderDxfId="247">
  <autoFilter ref="A452:G453" xr:uid="{00000000-0009-0000-0100-00006D000000}"/>
  <tableColumns count="7">
    <tableColumn id="1" xr3:uid="{00000000-0010-0000-4B00-000001000000}" name="PLANT L9" dataDxfId="246"/>
    <tableColumn id="2" xr3:uid="{00000000-0010-0000-4B00-000002000000}" name="Average  height (mm)" dataDxfId="245">
      <calculatedColumnFormula>AVERAGE(Tabla26912[Height (mm)])</calculatedColumnFormula>
    </tableColumn>
    <tableColumn id="3" xr3:uid="{00000000-0010-0000-4B00-000003000000}" name="Average width (mm)" dataDxfId="244">
      <calculatedColumnFormula>AVERAGE(Tabla26912[Width (mm)])</calculatedColumnFormula>
    </tableColumn>
    <tableColumn id="4" xr3:uid="{00000000-0010-0000-4B00-000004000000}" name="Total clusters number" dataDxfId="243">
      <calculatedColumnFormula>MAX(Tabla26912[[Cluster number ]])</calculatedColumnFormula>
    </tableColumn>
    <tableColumn id="5" xr3:uid="{00000000-0010-0000-4B00-000005000000}" name="Tomato average weight per plant" dataDxfId="242">
      <calculatedColumnFormula>AVERAGE(Tabla26912[Tomato average weight per cluster])</calculatedColumnFormula>
    </tableColumn>
    <tableColumn id="6" xr3:uid="{00000000-0010-0000-4B00-000006000000}" name="Total number of tomatoes " dataDxfId="241">
      <calculatedColumnFormula>COUNTA(Tabla26912["L9" PLANT])</calculatedColumnFormula>
    </tableColumn>
    <tableColumn id="7" xr3:uid="{00000000-0010-0000-4B00-000007000000}" name="Total weight (g)" dataDxfId="240">
      <calculatedColumnFormula>SUM(Tabla26912[Total cluster weight (g)])</calculatedColumnFormula>
    </tableColumn>
  </tableColumns>
  <tableStyleInfo name="TableStyleMedium2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4C000000}" name="Tabla70102111" displayName="Tabla70102111" ref="A503:G504" totalsRowShown="0" headerRowDxfId="239" dataDxfId="237" headerRowBorderDxfId="238" tableBorderDxfId="236" totalsRowBorderDxfId="235">
  <autoFilter ref="A503:G504" xr:uid="{00000000-0009-0000-0100-00006E000000}"/>
  <tableColumns count="7">
    <tableColumn id="1" xr3:uid="{00000000-0010-0000-4C00-000001000000}" name="PLANT L10" dataDxfId="234"/>
    <tableColumn id="2" xr3:uid="{00000000-0010-0000-4C00-000002000000}" name="Average  height (mm)" dataDxfId="233">
      <calculatedColumnFormula>AVERAGE(Tabla26913[Height (mm)])</calculatedColumnFormula>
    </tableColumn>
    <tableColumn id="3" xr3:uid="{00000000-0010-0000-4C00-000003000000}" name="Average width (mm)" dataDxfId="232">
      <calculatedColumnFormula>AVERAGE(Tabla26913[Width (mm)])</calculatedColumnFormula>
    </tableColumn>
    <tableColumn id="4" xr3:uid="{00000000-0010-0000-4C00-000004000000}" name="Total clusters number" dataDxfId="231">
      <calculatedColumnFormula>MAX(Tabla26913[[Cluster number ]])</calculatedColumnFormula>
    </tableColumn>
    <tableColumn id="5" xr3:uid="{00000000-0010-0000-4C00-000005000000}" name="Tomato average weight per plant" dataDxfId="230">
      <calculatedColumnFormula>AVERAGE(Tabla26913[Tomato average weight per cluster])</calculatedColumnFormula>
    </tableColumn>
    <tableColumn id="6" xr3:uid="{00000000-0010-0000-4C00-000006000000}" name="Total number of tomatoes " dataDxfId="229">
      <calculatedColumnFormula>COUNTA(Tabla26913["L10" PLANT])</calculatedColumnFormula>
    </tableColumn>
    <tableColumn id="7" xr3:uid="{00000000-0010-0000-4C00-000007000000}" name="Total weight (g)" dataDxfId="228">
      <calculatedColumnFormula>SUM(Tabla26913[Total cluster weight (g)])</calculatedColumnFormula>
    </tableColumn>
  </tableColumns>
  <tableStyleInfo name="TableStyleMedium2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4D000000}" name="Tabla70102112" displayName="Tabla70102112" ref="A555:G556" totalsRowShown="0" headerRowDxfId="227" dataDxfId="225" headerRowBorderDxfId="226" tableBorderDxfId="224" totalsRowBorderDxfId="223">
  <autoFilter ref="A555:G556" xr:uid="{00000000-0009-0000-0100-00006F000000}"/>
  <tableColumns count="7">
    <tableColumn id="1" xr3:uid="{00000000-0010-0000-4D00-000001000000}" name="PLANT L11" dataDxfId="222"/>
    <tableColumn id="2" xr3:uid="{00000000-0010-0000-4D00-000002000000}" name="Average  height (mm)" dataDxfId="221">
      <calculatedColumnFormula>AVERAGE(Tabla26914[Height (mm)])</calculatedColumnFormula>
    </tableColumn>
    <tableColumn id="3" xr3:uid="{00000000-0010-0000-4D00-000003000000}" name="Average width (mm)" dataDxfId="220">
      <calculatedColumnFormula>AVERAGE(Tabla26914[Width (mm)])</calculatedColumnFormula>
    </tableColumn>
    <tableColumn id="4" xr3:uid="{00000000-0010-0000-4D00-000004000000}" name="Total clusters number" dataDxfId="219">
      <calculatedColumnFormula>MAX(Tabla26914[[Cluster number ]])</calculatedColumnFormula>
    </tableColumn>
    <tableColumn id="5" xr3:uid="{00000000-0010-0000-4D00-000005000000}" name="Tomato average weight per plant" dataDxfId="218">
      <calculatedColumnFormula>AVERAGE(Tabla26914[Tomato average weight per cluster])</calculatedColumnFormula>
    </tableColumn>
    <tableColumn id="6" xr3:uid="{00000000-0010-0000-4D00-000006000000}" name="Total number of tomatoes " dataDxfId="217">
      <calculatedColumnFormula>COUNTA(Tabla26914["L11" PLANT])</calculatedColumnFormula>
    </tableColumn>
    <tableColumn id="7" xr3:uid="{00000000-0010-0000-4D00-000007000000}" name="Total weight (g)" dataDxfId="216">
      <calculatedColumnFormula>SUM(Tabla26914[Total cluster weight (g)])</calculatedColumnFormula>
    </tableColumn>
  </tableColumns>
  <tableStyleInfo name="TableStyleMedium2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4E000000}" name="Tabla70102113" displayName="Tabla70102113" ref="A606:G607" totalsRowShown="0" headerRowDxfId="215" dataDxfId="213" headerRowBorderDxfId="214" tableBorderDxfId="212" totalsRowBorderDxfId="211">
  <autoFilter ref="A606:G607" xr:uid="{00000000-0009-0000-0100-000070000000}"/>
  <tableColumns count="7">
    <tableColumn id="1" xr3:uid="{00000000-0010-0000-4E00-000001000000}" name="PLANT L12" dataDxfId="210"/>
    <tableColumn id="2" xr3:uid="{00000000-0010-0000-4E00-000002000000}" name="Average  height (mm)" dataDxfId="209">
      <calculatedColumnFormula>AVERAGE(Tabla26915[Height (mm)])</calculatedColumnFormula>
    </tableColumn>
    <tableColumn id="3" xr3:uid="{00000000-0010-0000-4E00-000003000000}" name="Average width (mm)" dataDxfId="208">
      <calculatedColumnFormula>AVERAGE(Tabla26915[Width (mm)])</calculatedColumnFormula>
    </tableColumn>
    <tableColumn id="4" xr3:uid="{00000000-0010-0000-4E00-000004000000}" name="Total clusters number" dataDxfId="207">
      <calculatedColumnFormula>MAX(Tabla26915[[Cluster number ]])</calculatedColumnFormula>
    </tableColumn>
    <tableColumn id="5" xr3:uid="{00000000-0010-0000-4E00-000005000000}" name="Tomato average weight per plant" dataDxfId="206">
      <calculatedColumnFormula>AVERAGE(Tabla26915[Tomato average weight per cluster])</calculatedColumnFormula>
    </tableColumn>
    <tableColumn id="6" xr3:uid="{00000000-0010-0000-4E00-000006000000}" name="Total number of tomatoes " dataDxfId="205">
      <calculatedColumnFormula>COUNTA(Tabla26915["L12" PLANT])</calculatedColumnFormula>
    </tableColumn>
    <tableColumn id="7" xr3:uid="{00000000-0010-0000-4E00-000007000000}" name="Total weight (g)" dataDxfId="204">
      <calculatedColumnFormula>SUM(Tabla26915[Total cluster weight (g)])</calculatedColumnFormula>
    </tableColumn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2691159" displayName="Tabla2691159" ref="A337:H386" totalsRowShown="0">
  <autoFilter ref="A337:H386" xr:uid="{00000000-0009-0000-0100-000008000000}"/>
  <tableColumns count="8">
    <tableColumn id="1" xr3:uid="{00000000-0010-0000-0700-000001000000}" name="&quot;C8&quot; PLANT" dataDxfId="930"/>
    <tableColumn id="2" xr3:uid="{00000000-0010-0000-0700-000002000000}" name="Height (mm)" dataDxfId="929"/>
    <tableColumn id="3" xr3:uid="{00000000-0010-0000-0700-000003000000}" name="Width (mm)" dataDxfId="928"/>
    <tableColumn id="4" xr3:uid="{00000000-0010-0000-0700-000004000000}" name="Weight (g)" dataDxfId="927"/>
    <tableColumn id="5" xr3:uid="{00000000-0010-0000-0700-000005000000}" name="Cluster number " dataDxfId="926"/>
    <tableColumn id="6" xr3:uid="{00000000-0010-0000-0700-000006000000}" name="Color" dataDxfId="925"/>
    <tableColumn id="7" xr3:uid="{00000000-0010-0000-0700-000007000000}" name="Total cluster weight (g)" dataDxfId="924"/>
    <tableColumn id="8" xr3:uid="{00000000-0010-0000-0700-000008000000}" name="Tomato average weight per cluster" dataDxfId="923"/>
  </tableColumns>
  <tableStyleInfo name="TableStyleMedium1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4F000000}" name="Tabla70102113114" displayName="Tabla70102113114" ref="A654:G655" totalsRowShown="0" headerRowDxfId="203" dataDxfId="201" headerRowBorderDxfId="202" tableBorderDxfId="200" totalsRowBorderDxfId="199">
  <autoFilter ref="A654:G655" xr:uid="{00000000-0009-0000-0100-000071000000}"/>
  <tableColumns count="7">
    <tableColumn id="1" xr3:uid="{00000000-0010-0000-4F00-000001000000}" name="PLANT L13" dataDxfId="198"/>
    <tableColumn id="2" xr3:uid="{00000000-0010-0000-4F00-000002000000}" name="Average  height (mm)" dataDxfId="197">
      <calculatedColumnFormula>AVERAGE(Tabla26916[Height (mm)])</calculatedColumnFormula>
    </tableColumn>
    <tableColumn id="3" xr3:uid="{00000000-0010-0000-4F00-000003000000}" name="Average width (mm)" dataDxfId="196">
      <calculatedColumnFormula>AVERAGE(Tabla26916[Width (mm)])</calculatedColumnFormula>
    </tableColumn>
    <tableColumn id="4" xr3:uid="{00000000-0010-0000-4F00-000004000000}" name="Total clusters number" dataDxfId="195">
      <calculatedColumnFormula>MAX(Tabla26916[[Cluster number ]])</calculatedColumnFormula>
    </tableColumn>
    <tableColumn id="5" xr3:uid="{00000000-0010-0000-4F00-000005000000}" name="Tomato average weight per plant" dataDxfId="194">
      <calculatedColumnFormula>AVERAGE(Tabla26916[Tomato average weight per cluster])</calculatedColumnFormula>
    </tableColumn>
    <tableColumn id="6" xr3:uid="{00000000-0010-0000-4F00-000006000000}" name="Total number of tomatoes " dataDxfId="193">
      <calculatedColumnFormula>COUNTA(Tabla26916["L13" PLANT])</calculatedColumnFormula>
    </tableColumn>
    <tableColumn id="7" xr3:uid="{00000000-0010-0000-4F00-000007000000}" name="Total weight (g)" dataDxfId="192">
      <calculatedColumnFormula>SUM(Tabla26916[Total cluster weight (g)])</calculatedColumnFormula>
    </tableColumn>
  </tableColumns>
  <tableStyleInfo name="TableStyleMedium2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50000000}" name="Tabla70102113114115" displayName="Tabla70102113114115" ref="A704:G705" totalsRowShown="0" headerRowDxfId="191" dataDxfId="189" headerRowBorderDxfId="190" tableBorderDxfId="188" totalsRowBorderDxfId="187">
  <autoFilter ref="A704:G705" xr:uid="{00000000-0009-0000-0100-000072000000}"/>
  <tableColumns count="7">
    <tableColumn id="1" xr3:uid="{00000000-0010-0000-5000-000001000000}" name="PLANT L14" dataDxfId="186"/>
    <tableColumn id="2" xr3:uid="{00000000-0010-0000-5000-000002000000}" name="Average  height (mm)" dataDxfId="185">
      <calculatedColumnFormula>AVERAGE(Tabla2691617[Height (mm)])</calculatedColumnFormula>
    </tableColumn>
    <tableColumn id="3" xr3:uid="{00000000-0010-0000-5000-000003000000}" name="Average width (mm)" dataDxfId="184">
      <calculatedColumnFormula>AVERAGE(Tabla2691617[Width (mm)])</calculatedColumnFormula>
    </tableColumn>
    <tableColumn id="4" xr3:uid="{00000000-0010-0000-5000-000004000000}" name="Total clusters number" dataDxfId="183">
      <calculatedColumnFormula>MAX(Tabla2691617[[Cluster number ]])</calculatedColumnFormula>
    </tableColumn>
    <tableColumn id="5" xr3:uid="{00000000-0010-0000-5000-000005000000}" name="Tomato average weight per plant" dataDxfId="182">
      <calculatedColumnFormula>AVERAGE(Tabla2691617[Tomato average weight per cluster])</calculatedColumnFormula>
    </tableColumn>
    <tableColumn id="6" xr3:uid="{00000000-0010-0000-5000-000006000000}" name="Total number of tomatoes " dataDxfId="181">
      <calculatedColumnFormula>COUNTA(Tabla2691617["L14" PLANT])</calculatedColumnFormula>
    </tableColumn>
    <tableColumn id="7" xr3:uid="{00000000-0010-0000-5000-000007000000}" name="Total weight (g)" dataDxfId="180">
      <calculatedColumnFormula>SUM(Tabla2691617[Total cluster weight (g)])</calculatedColumnFormula>
    </tableColumn>
  </tableColumns>
  <tableStyleInfo name="TableStyleMedium2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51000000}" name="Tabla70102113114115116" displayName="Tabla70102113114115116" ref="A748:G749" totalsRowShown="0" headerRowDxfId="179" dataDxfId="177" headerRowBorderDxfId="178" tableBorderDxfId="176" totalsRowBorderDxfId="175">
  <autoFilter ref="A748:G749" xr:uid="{00000000-0009-0000-0100-000073000000}"/>
  <tableColumns count="7">
    <tableColumn id="1" xr3:uid="{00000000-0010-0000-5100-000001000000}" name="PLANT L15" dataDxfId="174"/>
    <tableColumn id="2" xr3:uid="{00000000-0010-0000-5100-000002000000}" name="Average  height (mm)" dataDxfId="173">
      <calculatedColumnFormula>AVERAGE(Tabla2691618[Height (mm)])</calculatedColumnFormula>
    </tableColumn>
    <tableColumn id="3" xr3:uid="{00000000-0010-0000-5100-000003000000}" name="Average width (mm)" dataDxfId="172">
      <calculatedColumnFormula>AVERAGE(Tabla2691618[Width (mm)])</calculatedColumnFormula>
    </tableColumn>
    <tableColumn id="4" xr3:uid="{00000000-0010-0000-5100-000004000000}" name="Total clusters number" dataDxfId="171">
      <calculatedColumnFormula>MAX(Tabla2691618[[Cluster number ]])</calculatedColumnFormula>
    </tableColumn>
    <tableColumn id="5" xr3:uid="{00000000-0010-0000-5100-000005000000}" name="Tomato average weight per plant" dataDxfId="170">
      <calculatedColumnFormula>AVERAGE(Tabla2691618[Tomato average weight per cluster])</calculatedColumnFormula>
    </tableColumn>
    <tableColumn id="6" xr3:uid="{00000000-0010-0000-5100-000006000000}" name="Total number of tomatoes " dataDxfId="169">
      <calculatedColumnFormula>COUNTA(Tabla2691618["L15" PLANT])</calculatedColumnFormula>
    </tableColumn>
    <tableColumn id="7" xr3:uid="{00000000-0010-0000-5100-000007000000}" name="Total weight (g)" dataDxfId="168">
      <calculatedColumnFormula>SUM(Tabla2691618[Total cluster weight (g)])</calculatedColumnFormula>
    </tableColumn>
  </tableColumns>
  <tableStyleInfo name="TableStyleMedium2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52000000}" name="Tabla70102113114115117" displayName="Tabla70102113114115117" ref="A808:G809" totalsRowShown="0" headerRowDxfId="167" dataDxfId="165" headerRowBorderDxfId="166" tableBorderDxfId="164" totalsRowBorderDxfId="163">
  <autoFilter ref="A808:G809" xr:uid="{00000000-0009-0000-0100-000074000000}"/>
  <tableColumns count="7">
    <tableColumn id="1" xr3:uid="{00000000-0010-0000-5200-000001000000}" name="PLANT L16" dataDxfId="162"/>
    <tableColumn id="2" xr3:uid="{00000000-0010-0000-5200-000002000000}" name="Average  height (mm)" dataDxfId="161">
      <calculatedColumnFormula>AVERAGE(Tabla2691619[Height (mm)])</calculatedColumnFormula>
    </tableColumn>
    <tableColumn id="3" xr3:uid="{00000000-0010-0000-5200-000003000000}" name="Average width (mm)" dataDxfId="160">
      <calculatedColumnFormula>AVERAGE(Tabla2691619[Width (mm)])</calculatedColumnFormula>
    </tableColumn>
    <tableColumn id="4" xr3:uid="{00000000-0010-0000-5200-000004000000}" name="Total clusters number" dataDxfId="159">
      <calculatedColumnFormula>MAX(Tabla2691619[[Cluster number ]])</calculatedColumnFormula>
    </tableColumn>
    <tableColumn id="5" xr3:uid="{00000000-0010-0000-5200-000005000000}" name="Tomato average weight per plant" dataDxfId="158">
      <calculatedColumnFormula>AVERAGE(Tabla2691619[Tomato average weight per cluster])</calculatedColumnFormula>
    </tableColumn>
    <tableColumn id="6" xr3:uid="{00000000-0010-0000-5200-000006000000}" name="Total number of tomatoes " dataDxfId="157">
      <calculatedColumnFormula>COUNTA(Tabla2691619["L16" PLANT])</calculatedColumnFormula>
    </tableColumn>
    <tableColumn id="7" xr3:uid="{00000000-0010-0000-5200-000007000000}" name="Total weight (g)" dataDxfId="156">
      <calculatedColumnFormula>SUM(Tabla2691619[Total cluster weight (g)])</calculatedColumnFormula>
    </tableColumn>
  </tableColumns>
  <tableStyleInfo name="TableStyleMedium2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53000000}" name="Tabla70102113114115118" displayName="Tabla70102113114115118" ref="A859:G860" totalsRowShown="0" headerRowDxfId="155" dataDxfId="153" headerRowBorderDxfId="154" tableBorderDxfId="152" totalsRowBorderDxfId="151">
  <autoFilter ref="A859:G860" xr:uid="{00000000-0009-0000-0100-000075000000}"/>
  <tableColumns count="7">
    <tableColumn id="1" xr3:uid="{00000000-0010-0000-5300-000001000000}" name="PLANT L17" dataDxfId="150"/>
    <tableColumn id="2" xr3:uid="{00000000-0010-0000-5300-000002000000}" name="Average  height (mm)" dataDxfId="149">
      <calculatedColumnFormula>AVERAGE(Tabla2691620[Height (mm)])</calculatedColumnFormula>
    </tableColumn>
    <tableColumn id="3" xr3:uid="{00000000-0010-0000-5300-000003000000}" name="Average width (mm)" dataDxfId="148">
      <calculatedColumnFormula>AVERAGE(Tabla2691620[Width (mm)])</calculatedColumnFormula>
    </tableColumn>
    <tableColumn id="4" xr3:uid="{00000000-0010-0000-5300-000004000000}" name="Total clusters number" dataDxfId="147">
      <calculatedColumnFormula>MAX(Tabla2691620[[Cluster number ]])</calculatedColumnFormula>
    </tableColumn>
    <tableColumn id="5" xr3:uid="{00000000-0010-0000-5300-000005000000}" name="Tomato average weight per plant" dataDxfId="146">
      <calculatedColumnFormula>AVERAGE(Tabla2691620[Tomato average weight per cluster])</calculatedColumnFormula>
    </tableColumn>
    <tableColumn id="6" xr3:uid="{00000000-0010-0000-5300-000006000000}" name="Total number of tomatoes " dataDxfId="145">
      <calculatedColumnFormula>COUNTA(Tabla2691620["L17" PLANT])</calculatedColumnFormula>
    </tableColumn>
    <tableColumn id="7" xr3:uid="{00000000-0010-0000-5300-000007000000}" name="Total weight (g)" dataDxfId="144">
      <calculatedColumnFormula>SUM(Tabla2691620[Total cluster weight (g)])</calculatedColumnFormula>
    </tableColumn>
  </tableColumns>
  <tableStyleInfo name="TableStyleMedium2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00000000-000C-0000-FFFF-FFFF54000000}" name="Tabla70102113114115119" displayName="Tabla70102113114115119" ref="A902:G903" totalsRowShown="0" headerRowDxfId="143" dataDxfId="141" headerRowBorderDxfId="142" tableBorderDxfId="140" totalsRowBorderDxfId="139">
  <autoFilter ref="A902:G903" xr:uid="{00000000-0009-0000-0100-000076000000}"/>
  <tableColumns count="7">
    <tableColumn id="1" xr3:uid="{00000000-0010-0000-5400-000001000000}" name="PLANT L18" dataDxfId="138"/>
    <tableColumn id="2" xr3:uid="{00000000-0010-0000-5400-000002000000}" name="Average  height (mm)" dataDxfId="137">
      <calculatedColumnFormula>AVERAGE(Tabla2691621[Height (mm)])</calculatedColumnFormula>
    </tableColumn>
    <tableColumn id="3" xr3:uid="{00000000-0010-0000-5400-000003000000}" name="Average width (mm)" dataDxfId="136">
      <calculatedColumnFormula>AVERAGE(Tabla2691621[Width (mm)])</calculatedColumnFormula>
    </tableColumn>
    <tableColumn id="4" xr3:uid="{00000000-0010-0000-5400-000004000000}" name="Total clusters number" dataDxfId="135">
      <calculatedColumnFormula>MAX(Tabla2691621[[Cluster number ]])</calculatedColumnFormula>
    </tableColumn>
    <tableColumn id="5" xr3:uid="{00000000-0010-0000-5400-000005000000}" name="Tomato average weight per plant" dataDxfId="134">
      <calculatedColumnFormula>AVERAGE(Tabla2691621[Tomato average weight per cluster])</calculatedColumnFormula>
    </tableColumn>
    <tableColumn id="6" xr3:uid="{00000000-0010-0000-5400-000006000000}" name="Total number of tomatoes " dataDxfId="133">
      <calculatedColumnFormula>COUNTA(Tabla2691621["L18" PLANT])</calculatedColumnFormula>
    </tableColumn>
    <tableColumn id="7" xr3:uid="{00000000-0010-0000-5400-000007000000}" name="Total weight (g)" dataDxfId="132">
      <calculatedColumnFormula>SUM(Tabla2691621[Total cluster weight (g)])</calculatedColumnFormula>
    </tableColumn>
  </tableColumns>
  <tableStyleInfo name="TableStyleMedium2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00000000-000C-0000-FFFF-FFFF55000000}" name="Tabla70102113114115120" displayName="Tabla70102113114115120" ref="A954:G955" totalsRowShown="0" headerRowDxfId="131" dataDxfId="129" headerRowBorderDxfId="130" tableBorderDxfId="128" totalsRowBorderDxfId="127">
  <autoFilter ref="A954:G955" xr:uid="{00000000-0009-0000-0100-000077000000}"/>
  <tableColumns count="7">
    <tableColumn id="1" xr3:uid="{00000000-0010-0000-5500-000001000000}" name="PLANT L19" dataDxfId="126"/>
    <tableColumn id="2" xr3:uid="{00000000-0010-0000-5500-000002000000}" name="Average  height (mm)" dataDxfId="125">
      <calculatedColumnFormula>AVERAGE(B906:B952)</calculatedColumnFormula>
    </tableColumn>
    <tableColumn id="3" xr3:uid="{00000000-0010-0000-5500-000003000000}" name="Average width (mm)" dataDxfId="124">
      <calculatedColumnFormula>AVERAGE(C906:C952)</calculatedColumnFormula>
    </tableColumn>
    <tableColumn id="4" xr3:uid="{00000000-0010-0000-5500-000004000000}" name="Total clusters number" dataDxfId="123">
      <calculatedColumnFormula>MAX(Tabla2691622[[Cluster number ]])</calculatedColumnFormula>
    </tableColumn>
    <tableColumn id="5" xr3:uid="{00000000-0010-0000-5500-000005000000}" name="Tomato average weight per plant" dataDxfId="122">
      <calculatedColumnFormula>AVERAGE(Tabla2691622[Tomato average weight per cluster])</calculatedColumnFormula>
    </tableColumn>
    <tableColumn id="6" xr3:uid="{00000000-0010-0000-5500-000006000000}" name="Total number of tomatoes " dataDxfId="121">
      <calculatedColumnFormula>COUNTA(Tabla2691622["L19" PLANT])</calculatedColumnFormula>
    </tableColumn>
    <tableColumn id="7" xr3:uid="{00000000-0010-0000-5500-000007000000}" name="Total weight (g)" dataDxfId="120">
      <calculatedColumnFormula>SUM(Tabla2691622[Total cluster weight (g)])</calculatedColumnFormula>
    </tableColumn>
  </tableColumns>
  <tableStyleInfo name="TableStyleMedium22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0000000-000C-0000-FFFF-FFFF56000000}" name="Tabla70102113114115121" displayName="Tabla70102113114115121" ref="A1014:G1015" totalsRowShown="0" headerRowDxfId="119" dataDxfId="117" headerRowBorderDxfId="118" tableBorderDxfId="116" totalsRowBorderDxfId="115">
  <autoFilter ref="A1014:G1015" xr:uid="{00000000-0009-0000-0100-000078000000}"/>
  <tableColumns count="7">
    <tableColumn id="1" xr3:uid="{00000000-0010-0000-5600-000001000000}" name="PLANT L20" dataDxfId="114"/>
    <tableColumn id="2" xr3:uid="{00000000-0010-0000-5600-000002000000}" name="Average  height (mm)" dataDxfId="113">
      <calculatedColumnFormula>AVERAGE(Tabla2691623[Height (mm)])</calculatedColumnFormula>
    </tableColumn>
    <tableColumn id="3" xr3:uid="{00000000-0010-0000-5600-000003000000}" name="Average width (mm)" dataDxfId="112">
      <calculatedColumnFormula>AVERAGE(Tabla2691623[Width (mm)])</calculatedColumnFormula>
    </tableColumn>
    <tableColumn id="4" xr3:uid="{00000000-0010-0000-5600-000004000000}" name="Total clusters number" dataDxfId="111">
      <calculatedColumnFormula>MAX(Tabla2691623[[Cluster number ]])</calculatedColumnFormula>
    </tableColumn>
    <tableColumn id="5" xr3:uid="{00000000-0010-0000-5600-000005000000}" name="Tomato average weight per plant" dataDxfId="110">
      <calculatedColumnFormula>AVERAGE(Tabla2691623[Tomato average weight per cluster])</calculatedColumnFormula>
    </tableColumn>
    <tableColumn id="6" xr3:uid="{00000000-0010-0000-5600-000006000000}" name="Total number of tomatoes " dataDxfId="109">
      <calculatedColumnFormula>COUNTA(Tabla2691623["L20" PLANT])</calculatedColumnFormula>
    </tableColumn>
    <tableColumn id="7" xr3:uid="{00000000-0010-0000-5600-000007000000}" name="Total weight (g)" dataDxfId="108">
      <calculatedColumnFormula>SUM(Tabla2691623[Total cluster weight (g)])</calculatedColumnFormula>
    </tableColumn>
  </tableColumns>
  <tableStyleInfo name="TableStyleMedium22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00000000-000C-0000-FFFF-FFFF57000000}" name="Tabla70102113114115122" displayName="Tabla70102113114115122" ref="A1068:G1069" totalsRowShown="0" headerRowDxfId="107" dataDxfId="105" headerRowBorderDxfId="106" tableBorderDxfId="104" totalsRowBorderDxfId="103">
  <autoFilter ref="A1068:G1069" xr:uid="{00000000-0009-0000-0100-000079000000}"/>
  <tableColumns count="7">
    <tableColumn id="1" xr3:uid="{00000000-0010-0000-5700-000001000000}" name="PLANT L21" dataDxfId="102"/>
    <tableColumn id="2" xr3:uid="{00000000-0010-0000-5700-000002000000}" name="Average  height (mm)" dataDxfId="101">
      <calculatedColumnFormula>AVERAGE(Tabla2691624[Height (mm)])</calculatedColumnFormula>
    </tableColumn>
    <tableColumn id="3" xr3:uid="{00000000-0010-0000-5700-000003000000}" name="Average width (mm)" dataDxfId="100">
      <calculatedColumnFormula>AVERAGE(Tabla2691624[Width (mm)])</calculatedColumnFormula>
    </tableColumn>
    <tableColumn id="4" xr3:uid="{00000000-0010-0000-5700-000004000000}" name="Total clusters number" dataDxfId="99">
      <calculatedColumnFormula>MAX(Tabla2691624[[Cluster number ]])</calculatedColumnFormula>
    </tableColumn>
    <tableColumn id="5" xr3:uid="{00000000-0010-0000-5700-000005000000}" name="Tomato average weight per plant" dataDxfId="98">
      <calculatedColumnFormula>AVERAGE(Tabla2691624[Tomato average weight per cluster])</calculatedColumnFormula>
    </tableColumn>
    <tableColumn id="6" xr3:uid="{00000000-0010-0000-5700-000006000000}" name="Total number of tomatoes " dataDxfId="97">
      <calculatedColumnFormula>COUNTA(Tabla2691624["L21" PLANT])</calculatedColumnFormula>
    </tableColumn>
    <tableColumn id="7" xr3:uid="{00000000-0010-0000-5700-000007000000}" name="Total weight (g)" dataDxfId="96">
      <calculatedColumnFormula>SUM(Tabla2691624[Total cluster weight (g)])</calculatedColumnFormula>
    </tableColumn>
  </tableColumns>
  <tableStyleInfo name="TableStyleMedium2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00000000-000C-0000-FFFF-FFFF58000000}" name="Tabla70102113114115123" displayName="Tabla70102113114115123" ref="A1118:G1119" totalsRowShown="0" headerRowDxfId="95" dataDxfId="93" headerRowBorderDxfId="94" tableBorderDxfId="92" totalsRowBorderDxfId="91">
  <autoFilter ref="A1118:G1119" xr:uid="{00000000-0009-0000-0100-00007A000000}"/>
  <tableColumns count="7">
    <tableColumn id="1" xr3:uid="{00000000-0010-0000-5800-000001000000}" name="PLANT L22" dataDxfId="90"/>
    <tableColumn id="2" xr3:uid="{00000000-0010-0000-5800-000002000000}" name="Average  height (mm)" dataDxfId="89">
      <calculatedColumnFormula>AVERAGE(Tabla2691625[Height (mm)])</calculatedColumnFormula>
    </tableColumn>
    <tableColumn id="3" xr3:uid="{00000000-0010-0000-5800-000003000000}" name="Average width (mm)" dataDxfId="88">
      <calculatedColumnFormula>AVERAGE(Tabla2691625[Width (mm)])</calculatedColumnFormula>
    </tableColumn>
    <tableColumn id="4" xr3:uid="{00000000-0010-0000-5800-000004000000}" name="Total clusters number" dataDxfId="87">
      <calculatedColumnFormula>MAX(Tabla2691625[Cluster number* ])</calculatedColumnFormula>
    </tableColumn>
    <tableColumn id="5" xr3:uid="{00000000-0010-0000-5800-000005000000}" name="Tomato average weight per plant" dataDxfId="86">
      <calculatedColumnFormula>AVERAGE(Tabla2691625[Tomato average weight per cluster])</calculatedColumnFormula>
    </tableColumn>
    <tableColumn id="6" xr3:uid="{00000000-0010-0000-5800-000006000000}" name="Total number of tomatoes " dataDxfId="85">
      <calculatedColumnFormula>COUNTA(Tabla2691625["L22" PLANT])</calculatedColumnFormula>
    </tableColumn>
    <tableColumn id="7" xr3:uid="{00000000-0010-0000-5800-000007000000}" name="Total weight (g)" dataDxfId="84">
      <calculatedColumnFormula>SUM(Tabla2691625[Total cluster weight (g)])</calculatedColumnFormula>
    </tableColumn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2691260" displayName="Tabla2691260" ref="A391:H441" totalsRowShown="0">
  <autoFilter ref="A391:H441" xr:uid="{00000000-0009-0000-0100-000009000000}"/>
  <tableColumns count="8">
    <tableColumn id="1" xr3:uid="{00000000-0010-0000-0800-000001000000}" name="&quot;C9&quot; PLANT" dataDxfId="922"/>
    <tableColumn id="2" xr3:uid="{00000000-0010-0000-0800-000002000000}" name="Height (mm)" dataDxfId="921"/>
    <tableColumn id="3" xr3:uid="{00000000-0010-0000-0800-000003000000}" name="Width (mm)" dataDxfId="920"/>
    <tableColumn id="4" xr3:uid="{00000000-0010-0000-0800-000004000000}" name="Weight (g)" dataDxfId="919"/>
    <tableColumn id="5" xr3:uid="{00000000-0010-0000-0800-000005000000}" name="Cluster number " dataDxfId="918"/>
    <tableColumn id="6" xr3:uid="{00000000-0010-0000-0800-000006000000}" name="Color" dataDxfId="917"/>
    <tableColumn id="7" xr3:uid="{00000000-0010-0000-0800-000007000000}" name="Total cluster weight (g)" dataDxfId="916"/>
    <tableColumn id="8" xr3:uid="{00000000-0010-0000-0800-000008000000}" name="Tomato average weight per cluster" dataDxfId="915"/>
  </tableColumns>
  <tableStyleInfo name="TableStyleMedium1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00000000-000C-0000-FFFF-FFFF59000000}" name="Tabla70102113114115124" displayName="Tabla70102113114115124" ref="A1160:G1161" totalsRowShown="0" headerRowDxfId="83" dataDxfId="81" headerRowBorderDxfId="82" tableBorderDxfId="80" totalsRowBorderDxfId="79">
  <autoFilter ref="A1160:G1161" xr:uid="{00000000-0009-0000-0100-00007B000000}"/>
  <tableColumns count="7">
    <tableColumn id="1" xr3:uid="{00000000-0010-0000-5900-000001000000}" name="PLANT L23" dataDxfId="78"/>
    <tableColumn id="2" xr3:uid="{00000000-0010-0000-5900-000002000000}" name="Average  height (mm)" dataDxfId="77">
      <calculatedColumnFormula>AVERAGE(Tabla26916252[Height (mm)])</calculatedColumnFormula>
    </tableColumn>
    <tableColumn id="3" xr3:uid="{00000000-0010-0000-5900-000003000000}" name="Average width (mm)" dataDxfId="76">
      <calculatedColumnFormula>AVERAGE(Tabla26916252[Width (mm)])</calculatedColumnFormula>
    </tableColumn>
    <tableColumn id="4" xr3:uid="{00000000-0010-0000-5900-000004000000}" name="Total clusters number" dataDxfId="75">
      <calculatedColumnFormula>MAX(Tabla26916252[Cluster number *])</calculatedColumnFormula>
    </tableColumn>
    <tableColumn id="5" xr3:uid="{00000000-0010-0000-5900-000005000000}" name="Tomato average weight per plant" dataDxfId="74">
      <calculatedColumnFormula>AVERAGE(Tabla26916252[Tomato average weight per cluster])</calculatedColumnFormula>
    </tableColumn>
    <tableColumn id="6" xr3:uid="{00000000-0010-0000-5900-000006000000}" name="Total number of tomatoes " dataDxfId="73">
      <calculatedColumnFormula>COUNTA(Tabla26916252["L23" PLANT])</calculatedColumnFormula>
    </tableColumn>
    <tableColumn id="7" xr3:uid="{00000000-0010-0000-5900-000007000000}" name="Total weight (g)" dataDxfId="72">
      <calculatedColumnFormula>SUM(Tabla26916252[Total cluster weight (g)])</calculatedColumnFormula>
    </tableColumn>
  </tableColumns>
  <tableStyleInfo name="TableStyleMedium2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5A000000}" name="Tabla7010211311411512475" displayName="Tabla7010211311411512475" ref="A1190:G1191" totalsRowShown="0" headerRowDxfId="71" dataDxfId="69" headerRowBorderDxfId="70" tableBorderDxfId="68" totalsRowBorderDxfId="67">
  <autoFilter ref="A1190:G1191" xr:uid="{00000000-0009-0000-0100-00004A000000}"/>
  <tableColumns count="7">
    <tableColumn id="1" xr3:uid="{00000000-0010-0000-5A00-000001000000}" name="PLANT L24" dataDxfId="66"/>
    <tableColumn id="2" xr3:uid="{00000000-0010-0000-5A00-000002000000}" name="Average  height (mm)" dataDxfId="65">
      <calculatedColumnFormula>AVERAGE(Tabla140[Height (mm)])</calculatedColumnFormula>
    </tableColumn>
    <tableColumn id="3" xr3:uid="{00000000-0010-0000-5A00-000003000000}" name="Average width (mm)" dataDxfId="64">
      <calculatedColumnFormula>AVERAGE(Tabla140[Width (mm)])</calculatedColumnFormula>
    </tableColumn>
    <tableColumn id="4" xr3:uid="{00000000-0010-0000-5A00-000004000000}" name="Total clusters number" dataDxfId="63">
      <calculatedColumnFormula>MAX(Tabla140[Cluster number *])</calculatedColumnFormula>
    </tableColumn>
    <tableColumn id="5" xr3:uid="{00000000-0010-0000-5A00-000005000000}" name="Tomato average weight per plant" dataDxfId="62">
      <calculatedColumnFormula>AVERAGE(Tabla140[Tomato average weight per cluster])</calculatedColumnFormula>
    </tableColumn>
    <tableColumn id="6" xr3:uid="{00000000-0010-0000-5A00-000006000000}" name="Total number of tomatoes " dataDxfId="61">
      <calculatedColumnFormula>COUNTA(Tabla140["L24" PLANT])</calculatedColumnFormula>
    </tableColumn>
    <tableColumn id="7" xr3:uid="{00000000-0010-0000-5A00-000007000000}" name="Total weight (g)" dataDxfId="60">
      <calculatedColumnFormula>SUM(Tabla140[Total cluster weight (g)])</calculatedColumnFormula>
    </tableColumn>
  </tableColumns>
  <tableStyleInfo name="TableStyleMedium2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00000000-000C-0000-FFFF-FFFF5B000000}" name="Tabla140" displayName="Tabla140" ref="A1163:H1188" totalsRowShown="0" headerRowDxfId="59" dataDxfId="57" headerRowBorderDxfId="58" tableBorderDxfId="56">
  <autoFilter ref="A1163:H1188" xr:uid="{00000000-0009-0000-0100-00008C000000}"/>
  <tableColumns count="8">
    <tableColumn id="1" xr3:uid="{00000000-0010-0000-5B00-000001000000}" name="&quot;L24&quot; PLANT" dataDxfId="55"/>
    <tableColumn id="2" xr3:uid="{00000000-0010-0000-5B00-000002000000}" name="Height (mm)" dataDxfId="54"/>
    <tableColumn id="3" xr3:uid="{00000000-0010-0000-5B00-000003000000}" name="Width (mm)" dataDxfId="53"/>
    <tableColumn id="4" xr3:uid="{00000000-0010-0000-5B00-000004000000}" name="Weight (g)" dataDxfId="52"/>
    <tableColumn id="5" xr3:uid="{00000000-0010-0000-5B00-000005000000}" name="Cluster number *" dataDxfId="51"/>
    <tableColumn id="6" xr3:uid="{00000000-0010-0000-5B00-000006000000}" name="Color" dataDxfId="50"/>
    <tableColumn id="7" xr3:uid="{00000000-0010-0000-5B00-000007000000}" name="Total cluster weight (g)" dataDxfId="49"/>
    <tableColumn id="8" xr3:uid="{00000000-0010-0000-5B00-000008000000}" name="Tomato average weight per cluster" dataDxfId="48"/>
  </tableColumns>
  <tableStyleInfo name="TableStyleMedium1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00000000-000C-0000-FFFF-FFFF5C000000}" name="Tabla144" displayName="Tabla144" ref="A1193:H1212" totalsRowShown="0" headerRowDxfId="47" dataDxfId="45" headerRowBorderDxfId="46" tableBorderDxfId="44">
  <autoFilter ref="A1193:H1212" xr:uid="{00000000-0009-0000-0100-000090000000}"/>
  <tableColumns count="8">
    <tableColumn id="1" xr3:uid="{00000000-0010-0000-5C00-000001000000}" name="&quot;L25&quot; PLANT" dataDxfId="43"/>
    <tableColumn id="2" xr3:uid="{00000000-0010-0000-5C00-000002000000}" name="Height (mm)" dataDxfId="42"/>
    <tableColumn id="3" xr3:uid="{00000000-0010-0000-5C00-000003000000}" name="Width (mm)" dataDxfId="41"/>
    <tableColumn id="4" xr3:uid="{00000000-0010-0000-5C00-000004000000}" name="Weight (g)" dataDxfId="40"/>
    <tableColumn id="5" xr3:uid="{00000000-0010-0000-5C00-000005000000}" name="Cluster number *" dataDxfId="39"/>
    <tableColumn id="6" xr3:uid="{00000000-0010-0000-5C00-000006000000}" name="Color" dataDxfId="38"/>
    <tableColumn id="7" xr3:uid="{00000000-0010-0000-5C00-000007000000}" name="Total cluster weight (g)" dataDxfId="37"/>
    <tableColumn id="8" xr3:uid="{00000000-0010-0000-5C00-000008000000}" name="Tomato average weight per cluster" dataDxfId="36">
      <calculatedColumnFormula>Tabla144[[#This Row],[Total cluster weight (g)]]/COUNTA(Tabla144["L25" PLANT])</calculatedColumnFormula>
    </tableColumn>
  </tableColumns>
  <tableStyleInfo name="TableStyleMedium1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0000000-000C-0000-FFFF-FFFF5D000000}" name="Tabla7010211311411512475148" displayName="Tabla7010211311411512475148" ref="A1214:G1215" totalsRowShown="0" headerRowDxfId="35" dataDxfId="33" headerRowBorderDxfId="34" tableBorderDxfId="32" totalsRowBorderDxfId="31">
  <autoFilter ref="A1214:G1215" xr:uid="{00000000-0009-0000-0100-000093000000}"/>
  <tableColumns count="7">
    <tableColumn id="1" xr3:uid="{00000000-0010-0000-5D00-000001000000}" name="PLANT L25" dataDxfId="30"/>
    <tableColumn id="2" xr3:uid="{00000000-0010-0000-5D00-000002000000}" name="Average  height (mm)" dataDxfId="29">
      <calculatedColumnFormula>AVERAGE(Tabla144[Height (mm)])</calculatedColumnFormula>
    </tableColumn>
    <tableColumn id="3" xr3:uid="{00000000-0010-0000-5D00-000003000000}" name="Average width (mm)" dataDxfId="28">
      <calculatedColumnFormula>AVERAGE(Tabla144[Width (mm)])</calculatedColumnFormula>
    </tableColumn>
    <tableColumn id="4" xr3:uid="{00000000-0010-0000-5D00-000004000000}" name="Total clusters number" dataDxfId="27">
      <calculatedColumnFormula>MAX(Tabla144[Cluster number *])</calculatedColumnFormula>
    </tableColumn>
    <tableColumn id="5" xr3:uid="{00000000-0010-0000-5D00-000005000000}" name="Tomato average weight per plant" dataDxfId="26">
      <calculatedColumnFormula>AVERAGE(Tabla144[Tomato average weight per cluster])</calculatedColumnFormula>
    </tableColumn>
    <tableColumn id="6" xr3:uid="{00000000-0010-0000-5D00-000006000000}" name="Total number of tomatoes " dataDxfId="25">
      <calculatedColumnFormula>COUNTA(Tabla144["L25" PLANT])</calculatedColumnFormula>
    </tableColumn>
    <tableColumn id="7" xr3:uid="{00000000-0010-0000-5D00-000007000000}" name="Total weight (g)" dataDxfId="24">
      <calculatedColumnFormula>SUM(Tabla144[Total cluster weight (g)])</calculatedColumnFormula>
    </tableColumn>
  </tableColumns>
  <tableStyleInfo name="TableStyleMedium2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00000000-000C-0000-FFFF-FFFF5E000000}" name="Tabla142" displayName="Tabla142" ref="A1217:H1225" totalsRowShown="0" headerRowDxfId="23" dataDxfId="21" headerRowBorderDxfId="22" tableBorderDxfId="20">
  <autoFilter ref="A1217:H1225" xr:uid="{00000000-0009-0000-0100-00008E000000}"/>
  <tableColumns count="8">
    <tableColumn id="1" xr3:uid="{00000000-0010-0000-5E00-000001000000}" name="&quot;L26&quot; PLANT" dataDxfId="19"/>
    <tableColumn id="2" xr3:uid="{00000000-0010-0000-5E00-000002000000}" name="Height (mm)" dataDxfId="18"/>
    <tableColumn id="3" xr3:uid="{00000000-0010-0000-5E00-000003000000}" name="Width (mm)" dataDxfId="17"/>
    <tableColumn id="4" xr3:uid="{00000000-0010-0000-5E00-000004000000}" name="Weight (g)" dataDxfId="16"/>
    <tableColumn id="5" xr3:uid="{00000000-0010-0000-5E00-000005000000}" name="Cluster number *" dataDxfId="15"/>
    <tableColumn id="6" xr3:uid="{00000000-0010-0000-5E00-000006000000}" name="Color" dataDxfId="14"/>
    <tableColumn id="7" xr3:uid="{00000000-0010-0000-5E00-000007000000}" name="Total cluster weight (g)" dataDxfId="13"/>
    <tableColumn id="8" xr3:uid="{00000000-0010-0000-5E00-000008000000}" name="Tomato average weight per cluster" dataDxfId="12">
      <calculatedColumnFormula>Tabla142[[#This Row],[Total cluster weight (g)]]/COUNTA(A1214:A1218)</calculatedColumnFormula>
    </tableColumn>
  </tableColumns>
  <tableStyleInfo name="TableStyleMedium1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00000000-000C-0000-FFFF-FFFF5F000000}" name="Tabla7010211311411512475148149" displayName="Tabla7010211311411512475148149" ref="A1227:G1228" totalsRowShown="0" headerRowDxfId="11" dataDxfId="9" headerRowBorderDxfId="10" tableBorderDxfId="8" totalsRowBorderDxfId="7">
  <autoFilter ref="A1227:G1228" xr:uid="{00000000-0009-0000-0100-000094000000}"/>
  <tableColumns count="7">
    <tableColumn id="1" xr3:uid="{00000000-0010-0000-5F00-000001000000}" name="PLANT L26" dataDxfId="6"/>
    <tableColumn id="2" xr3:uid="{00000000-0010-0000-5F00-000002000000}" name="Average  height (mm)" dataDxfId="5">
      <calculatedColumnFormula>AVERAGE(Tabla142[Height (mm)])</calculatedColumnFormula>
    </tableColumn>
    <tableColumn id="3" xr3:uid="{00000000-0010-0000-5F00-000003000000}" name="Average width (mm)" dataDxfId="4">
      <calculatedColumnFormula>AVERAGE(Tabla142[Width (mm)])</calculatedColumnFormula>
    </tableColumn>
    <tableColumn id="4" xr3:uid="{00000000-0010-0000-5F00-000004000000}" name="Total clusters number" dataDxfId="3">
      <calculatedColumnFormula>MAX(Tabla142[Cluster number *])</calculatedColumnFormula>
    </tableColumn>
    <tableColumn id="5" xr3:uid="{00000000-0010-0000-5F00-000005000000}" name="Tomato average weight per plant" dataDxfId="2">
      <calculatedColumnFormula>AVERAGE(Tabla142[Tomato average weight per cluster])</calculatedColumnFormula>
    </tableColumn>
    <tableColumn id="6" xr3:uid="{00000000-0010-0000-5F00-000006000000}" name="Total number of tomatoes " dataDxfId="1">
      <calculatedColumnFormula>COUNTA(Tabla142["L26" PLANT])</calculatedColumnFormula>
    </tableColumn>
    <tableColumn id="7" xr3:uid="{00000000-0010-0000-5F00-000007000000}" name="Total weight (g)" dataDxfId="0">
      <calculatedColumnFormula>SUM(Tabla142[Tomato average weight per cluster])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57.xml"/><Relationship Id="rId18" Type="http://schemas.openxmlformats.org/officeDocument/2006/relationships/table" Target="../tables/table62.xml"/><Relationship Id="rId26" Type="http://schemas.openxmlformats.org/officeDocument/2006/relationships/table" Target="../tables/table70.xml"/><Relationship Id="rId39" Type="http://schemas.openxmlformats.org/officeDocument/2006/relationships/table" Target="../tables/table83.xml"/><Relationship Id="rId21" Type="http://schemas.openxmlformats.org/officeDocument/2006/relationships/table" Target="../tables/table65.xml"/><Relationship Id="rId34" Type="http://schemas.openxmlformats.org/officeDocument/2006/relationships/table" Target="../tables/table78.xml"/><Relationship Id="rId42" Type="http://schemas.openxmlformats.org/officeDocument/2006/relationships/table" Target="../tables/table86.xml"/><Relationship Id="rId47" Type="http://schemas.openxmlformats.org/officeDocument/2006/relationships/table" Target="../tables/table91.xml"/><Relationship Id="rId50" Type="http://schemas.openxmlformats.org/officeDocument/2006/relationships/table" Target="../tables/table94.xml"/><Relationship Id="rId7" Type="http://schemas.openxmlformats.org/officeDocument/2006/relationships/table" Target="../tables/table51.xml"/><Relationship Id="rId2" Type="http://schemas.openxmlformats.org/officeDocument/2006/relationships/table" Target="../tables/table46.xml"/><Relationship Id="rId16" Type="http://schemas.openxmlformats.org/officeDocument/2006/relationships/table" Target="../tables/table60.xml"/><Relationship Id="rId29" Type="http://schemas.openxmlformats.org/officeDocument/2006/relationships/table" Target="../tables/table73.xml"/><Relationship Id="rId11" Type="http://schemas.openxmlformats.org/officeDocument/2006/relationships/table" Target="../tables/table55.xml"/><Relationship Id="rId24" Type="http://schemas.openxmlformats.org/officeDocument/2006/relationships/table" Target="../tables/table68.xml"/><Relationship Id="rId32" Type="http://schemas.openxmlformats.org/officeDocument/2006/relationships/table" Target="../tables/table76.xml"/><Relationship Id="rId37" Type="http://schemas.openxmlformats.org/officeDocument/2006/relationships/table" Target="../tables/table81.xml"/><Relationship Id="rId40" Type="http://schemas.openxmlformats.org/officeDocument/2006/relationships/table" Target="../tables/table84.xml"/><Relationship Id="rId45" Type="http://schemas.openxmlformats.org/officeDocument/2006/relationships/table" Target="../tables/table89.xml"/><Relationship Id="rId5" Type="http://schemas.openxmlformats.org/officeDocument/2006/relationships/table" Target="../tables/table49.xml"/><Relationship Id="rId15" Type="http://schemas.openxmlformats.org/officeDocument/2006/relationships/table" Target="../tables/table59.xml"/><Relationship Id="rId23" Type="http://schemas.openxmlformats.org/officeDocument/2006/relationships/table" Target="../tables/table67.xml"/><Relationship Id="rId28" Type="http://schemas.openxmlformats.org/officeDocument/2006/relationships/table" Target="../tables/table72.xml"/><Relationship Id="rId36" Type="http://schemas.openxmlformats.org/officeDocument/2006/relationships/table" Target="../tables/table80.xml"/><Relationship Id="rId49" Type="http://schemas.openxmlformats.org/officeDocument/2006/relationships/table" Target="../tables/table93.xml"/><Relationship Id="rId10" Type="http://schemas.openxmlformats.org/officeDocument/2006/relationships/table" Target="../tables/table54.xml"/><Relationship Id="rId19" Type="http://schemas.openxmlformats.org/officeDocument/2006/relationships/table" Target="../tables/table63.xml"/><Relationship Id="rId31" Type="http://schemas.openxmlformats.org/officeDocument/2006/relationships/table" Target="../tables/table75.xml"/><Relationship Id="rId44" Type="http://schemas.openxmlformats.org/officeDocument/2006/relationships/table" Target="../tables/table88.xml"/><Relationship Id="rId52" Type="http://schemas.openxmlformats.org/officeDocument/2006/relationships/table" Target="../tables/table96.xml"/><Relationship Id="rId4" Type="http://schemas.openxmlformats.org/officeDocument/2006/relationships/table" Target="../tables/table48.xml"/><Relationship Id="rId9" Type="http://schemas.openxmlformats.org/officeDocument/2006/relationships/table" Target="../tables/table53.xml"/><Relationship Id="rId14" Type="http://schemas.openxmlformats.org/officeDocument/2006/relationships/table" Target="../tables/table58.xml"/><Relationship Id="rId22" Type="http://schemas.openxmlformats.org/officeDocument/2006/relationships/table" Target="../tables/table66.xml"/><Relationship Id="rId27" Type="http://schemas.openxmlformats.org/officeDocument/2006/relationships/table" Target="../tables/table71.xml"/><Relationship Id="rId30" Type="http://schemas.openxmlformats.org/officeDocument/2006/relationships/table" Target="../tables/table74.xml"/><Relationship Id="rId35" Type="http://schemas.openxmlformats.org/officeDocument/2006/relationships/table" Target="../tables/table79.xml"/><Relationship Id="rId43" Type="http://schemas.openxmlformats.org/officeDocument/2006/relationships/table" Target="../tables/table87.xml"/><Relationship Id="rId48" Type="http://schemas.openxmlformats.org/officeDocument/2006/relationships/table" Target="../tables/table92.xml"/><Relationship Id="rId8" Type="http://schemas.openxmlformats.org/officeDocument/2006/relationships/table" Target="../tables/table52.xml"/><Relationship Id="rId51" Type="http://schemas.openxmlformats.org/officeDocument/2006/relationships/table" Target="../tables/table95.xml"/><Relationship Id="rId3" Type="http://schemas.openxmlformats.org/officeDocument/2006/relationships/table" Target="../tables/table47.xml"/><Relationship Id="rId12" Type="http://schemas.openxmlformats.org/officeDocument/2006/relationships/table" Target="../tables/table56.xml"/><Relationship Id="rId17" Type="http://schemas.openxmlformats.org/officeDocument/2006/relationships/table" Target="../tables/table61.xml"/><Relationship Id="rId25" Type="http://schemas.openxmlformats.org/officeDocument/2006/relationships/table" Target="../tables/table69.xml"/><Relationship Id="rId33" Type="http://schemas.openxmlformats.org/officeDocument/2006/relationships/table" Target="../tables/table77.xml"/><Relationship Id="rId38" Type="http://schemas.openxmlformats.org/officeDocument/2006/relationships/table" Target="../tables/table82.xml"/><Relationship Id="rId46" Type="http://schemas.openxmlformats.org/officeDocument/2006/relationships/table" Target="../tables/table90.xml"/><Relationship Id="rId20" Type="http://schemas.openxmlformats.org/officeDocument/2006/relationships/table" Target="../tables/table64.xml"/><Relationship Id="rId41" Type="http://schemas.openxmlformats.org/officeDocument/2006/relationships/table" Target="../tables/table85.xml"/><Relationship Id="rId1" Type="http://schemas.openxmlformats.org/officeDocument/2006/relationships/table" Target="../tables/table45.xml"/><Relationship Id="rId6" Type="http://schemas.openxmlformats.org/officeDocument/2006/relationships/table" Target="../tables/table5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7"/>
  <sheetViews>
    <sheetView zoomScale="80" zoomScaleNormal="80" workbookViewId="0">
      <selection activeCell="H1044" sqref="H1044"/>
    </sheetView>
  </sheetViews>
  <sheetFormatPr defaultColWidth="9.15625" defaultRowHeight="14.4" x14ac:dyDescent="0.55000000000000004"/>
  <cols>
    <col min="1" max="1" width="21" customWidth="1"/>
    <col min="2" max="2" width="23" customWidth="1"/>
    <col min="3" max="3" width="21.578125" customWidth="1"/>
    <col min="4" max="4" width="23.41796875" customWidth="1"/>
    <col min="5" max="5" width="33.41796875" customWidth="1"/>
    <col min="6" max="6" width="28.26171875" customWidth="1"/>
    <col min="7" max="7" width="30.578125" customWidth="1"/>
    <col min="8" max="8" width="31.83984375" customWidth="1"/>
    <col min="9" max="9" width="20.68359375" customWidth="1"/>
  </cols>
  <sheetData>
    <row r="1" spans="1:9" ht="25.8" x14ac:dyDescent="0.95">
      <c r="A1" s="1" t="s">
        <v>0</v>
      </c>
    </row>
    <row r="3" spans="1:9" ht="18.3" x14ac:dyDescent="0.7">
      <c r="A3" s="70" t="s">
        <v>1</v>
      </c>
      <c r="B3" s="67"/>
    </row>
    <row r="5" spans="1:9" ht="19.2" x14ac:dyDescent="0.7">
      <c r="A5" s="2"/>
      <c r="B5" s="3"/>
      <c r="C5" s="4"/>
      <c r="D5" s="4"/>
      <c r="E5" s="4"/>
      <c r="F5" s="4"/>
      <c r="G5" s="4"/>
    </row>
    <row r="6" spans="1:9" ht="14.7" thickBot="1" x14ac:dyDescent="0.6">
      <c r="A6" s="5" t="s">
        <v>2</v>
      </c>
      <c r="B6" t="s">
        <v>3</v>
      </c>
      <c r="C6" t="s">
        <v>4</v>
      </c>
      <c r="D6" t="s">
        <v>5</v>
      </c>
      <c r="E6" t="s">
        <v>6</v>
      </c>
      <c r="F6" t="s">
        <v>7</v>
      </c>
      <c r="G6" t="s">
        <v>8</v>
      </c>
      <c r="H6" t="s">
        <v>161</v>
      </c>
    </row>
    <row r="7" spans="1:9" x14ac:dyDescent="0.55000000000000004">
      <c r="A7" s="6" t="s">
        <v>9</v>
      </c>
      <c r="B7" s="7">
        <v>52</v>
      </c>
      <c r="C7" s="7">
        <v>63</v>
      </c>
      <c r="D7" s="21" t="s">
        <v>37</v>
      </c>
      <c r="E7" s="9">
        <v>1</v>
      </c>
      <c r="F7" s="9" t="s">
        <v>36</v>
      </c>
      <c r="G7" s="9"/>
      <c r="H7" s="41"/>
    </row>
    <row r="8" spans="1:9" x14ac:dyDescent="0.55000000000000004">
      <c r="A8" s="10" t="s">
        <v>10</v>
      </c>
      <c r="B8" s="9">
        <v>54</v>
      </c>
      <c r="C8" s="9">
        <v>62</v>
      </c>
      <c r="D8" s="21" t="s">
        <v>37</v>
      </c>
      <c r="E8" s="9">
        <v>1</v>
      </c>
      <c r="F8" s="9" t="s">
        <v>36</v>
      </c>
      <c r="G8" s="9"/>
      <c r="H8" s="41"/>
    </row>
    <row r="9" spans="1:9" ht="14.7" thickBot="1" x14ac:dyDescent="0.6">
      <c r="A9" s="10" t="s">
        <v>11</v>
      </c>
      <c r="B9" s="9">
        <v>54</v>
      </c>
      <c r="C9" s="9">
        <v>67</v>
      </c>
      <c r="D9" s="21" t="s">
        <v>37</v>
      </c>
      <c r="E9" s="9">
        <v>1</v>
      </c>
      <c r="F9" s="9" t="s">
        <v>36</v>
      </c>
      <c r="G9" s="9"/>
      <c r="H9" s="41"/>
    </row>
    <row r="10" spans="1:9" ht="14.7" thickBot="1" x14ac:dyDescent="0.6">
      <c r="A10" s="33" t="s">
        <v>39</v>
      </c>
      <c r="B10" s="14">
        <v>55</v>
      </c>
      <c r="C10" s="14">
        <v>71</v>
      </c>
      <c r="D10" s="23">
        <v>155</v>
      </c>
      <c r="E10" s="14">
        <v>1</v>
      </c>
      <c r="F10" s="14" t="s">
        <v>36</v>
      </c>
      <c r="G10" s="74">
        <v>504</v>
      </c>
      <c r="H10" s="75">
        <f>Tabla26952[[#This Row],[Total cluster weight (g)]]/COUNTA(A7:A10)</f>
        <v>126</v>
      </c>
    </row>
    <row r="11" spans="1:9" x14ac:dyDescent="0.55000000000000004">
      <c r="A11" s="34" t="s">
        <v>13</v>
      </c>
      <c r="B11" s="12">
        <v>53</v>
      </c>
      <c r="C11" s="12">
        <v>62</v>
      </c>
      <c r="D11" s="28" t="s">
        <v>37</v>
      </c>
      <c r="E11" s="12">
        <v>2</v>
      </c>
      <c r="F11" s="12" t="s">
        <v>35</v>
      </c>
      <c r="G11" s="12"/>
      <c r="H11" s="41"/>
    </row>
    <row r="12" spans="1:9" x14ac:dyDescent="0.55000000000000004">
      <c r="A12" s="10" t="s">
        <v>41</v>
      </c>
      <c r="B12" s="9">
        <v>54</v>
      </c>
      <c r="C12" s="9">
        <v>68</v>
      </c>
      <c r="D12" s="21" t="s">
        <v>37</v>
      </c>
      <c r="E12" s="9">
        <v>2</v>
      </c>
      <c r="F12" s="12" t="s">
        <v>35</v>
      </c>
      <c r="G12" s="12"/>
      <c r="H12" s="41"/>
    </row>
    <row r="13" spans="1:9" x14ac:dyDescent="0.55000000000000004">
      <c r="A13" s="10" t="s">
        <v>42</v>
      </c>
      <c r="B13" s="9">
        <v>51</v>
      </c>
      <c r="C13" s="9">
        <v>69</v>
      </c>
      <c r="D13" s="21" t="s">
        <v>37</v>
      </c>
      <c r="E13" s="9">
        <v>2</v>
      </c>
      <c r="F13" s="9" t="s">
        <v>36</v>
      </c>
      <c r="G13" s="12"/>
      <c r="H13" s="41"/>
    </row>
    <row r="14" spans="1:9" ht="14.7" thickBot="1" x14ac:dyDescent="0.6">
      <c r="A14" s="10" t="s">
        <v>43</v>
      </c>
      <c r="B14" s="9">
        <v>56</v>
      </c>
      <c r="C14" s="9">
        <v>70</v>
      </c>
      <c r="D14" s="21" t="s">
        <v>37</v>
      </c>
      <c r="E14" s="9">
        <v>2</v>
      </c>
      <c r="F14" s="9" t="s">
        <v>36</v>
      </c>
      <c r="G14" s="12"/>
      <c r="H14" s="41"/>
    </row>
    <row r="15" spans="1:9" ht="14.7" thickBot="1" x14ac:dyDescent="0.6">
      <c r="A15" s="35" t="s">
        <v>47</v>
      </c>
      <c r="B15" s="14">
        <v>54</v>
      </c>
      <c r="C15" s="14">
        <v>65</v>
      </c>
      <c r="D15" s="23" t="s">
        <v>37</v>
      </c>
      <c r="E15" s="14">
        <v>2</v>
      </c>
      <c r="F15" s="14" t="s">
        <v>36</v>
      </c>
      <c r="G15" s="74">
        <v>644</v>
      </c>
      <c r="H15" s="75">
        <f>Tabla26952[[#This Row],[Total cluster weight (g)]]/COUNTA(A11:A15)</f>
        <v>128.80000000000001</v>
      </c>
    </row>
    <row r="16" spans="1:9" x14ac:dyDescent="0.55000000000000004">
      <c r="A16" s="44" t="s">
        <v>57</v>
      </c>
      <c r="B16" s="9">
        <v>56</v>
      </c>
      <c r="C16" s="9">
        <v>70</v>
      </c>
      <c r="D16" s="21" t="s">
        <v>37</v>
      </c>
      <c r="E16" s="9">
        <v>3</v>
      </c>
      <c r="F16" s="9" t="s">
        <v>35</v>
      </c>
      <c r="G16" s="9"/>
      <c r="H16" s="41"/>
      <c r="I16" t="s">
        <v>56</v>
      </c>
    </row>
    <row r="17" spans="1:8" x14ac:dyDescent="0.55000000000000004">
      <c r="A17" s="44" t="s">
        <v>58</v>
      </c>
      <c r="B17" s="9">
        <v>53</v>
      </c>
      <c r="C17" s="9">
        <v>61</v>
      </c>
      <c r="D17" s="28" t="s">
        <v>37</v>
      </c>
      <c r="E17" s="9">
        <v>3</v>
      </c>
      <c r="F17" s="9" t="s">
        <v>35</v>
      </c>
      <c r="G17" s="9"/>
      <c r="H17" s="41"/>
    </row>
    <row r="18" spans="1:8" x14ac:dyDescent="0.55000000000000004">
      <c r="A18" s="44" t="s">
        <v>59</v>
      </c>
      <c r="B18" s="9">
        <v>53</v>
      </c>
      <c r="C18" s="9">
        <v>66</v>
      </c>
      <c r="D18" s="28" t="s">
        <v>37</v>
      </c>
      <c r="E18" s="9">
        <v>3</v>
      </c>
      <c r="F18" s="9" t="s">
        <v>36</v>
      </c>
      <c r="G18" s="9"/>
      <c r="H18" s="41"/>
    </row>
    <row r="19" spans="1:8" ht="14.7" thickBot="1" x14ac:dyDescent="0.6">
      <c r="A19" s="45" t="s">
        <v>51</v>
      </c>
      <c r="B19" s="12">
        <v>55</v>
      </c>
      <c r="C19" s="12">
        <v>63</v>
      </c>
      <c r="D19" s="28" t="s">
        <v>37</v>
      </c>
      <c r="E19" s="9">
        <v>3</v>
      </c>
      <c r="F19" s="12" t="s">
        <v>36</v>
      </c>
      <c r="G19" s="9"/>
      <c r="H19" s="41"/>
    </row>
    <row r="20" spans="1:8" ht="14.7" thickBot="1" x14ac:dyDescent="0.6">
      <c r="A20" s="33" t="s">
        <v>52</v>
      </c>
      <c r="B20" s="14">
        <v>54</v>
      </c>
      <c r="C20" s="14">
        <v>67</v>
      </c>
      <c r="D20" s="23" t="s">
        <v>37</v>
      </c>
      <c r="E20" s="14">
        <v>3</v>
      </c>
      <c r="F20" s="14" t="s">
        <v>36</v>
      </c>
      <c r="G20" s="74">
        <v>603</v>
      </c>
      <c r="H20" s="75">
        <f>Tabla26952[[#This Row],[Total cluster weight (g)]]/COUNTA(A16:A20)</f>
        <v>120.6</v>
      </c>
    </row>
    <row r="21" spans="1:8" x14ac:dyDescent="0.55000000000000004">
      <c r="A21" s="44" t="s">
        <v>53</v>
      </c>
      <c r="B21" s="20">
        <v>50</v>
      </c>
      <c r="C21" s="20">
        <v>58</v>
      </c>
      <c r="D21" s="87" t="s">
        <v>37</v>
      </c>
      <c r="E21" s="20">
        <v>4</v>
      </c>
      <c r="F21" s="20" t="s">
        <v>35</v>
      </c>
      <c r="G21" s="20"/>
      <c r="H21" s="85"/>
    </row>
    <row r="22" spans="1:8" x14ac:dyDescent="0.55000000000000004">
      <c r="A22" s="44" t="s">
        <v>80</v>
      </c>
      <c r="B22" s="9">
        <v>52</v>
      </c>
      <c r="C22" s="9">
        <v>60</v>
      </c>
      <c r="D22" s="21" t="s">
        <v>37</v>
      </c>
      <c r="E22" s="9">
        <v>4</v>
      </c>
      <c r="F22" s="9" t="s">
        <v>36</v>
      </c>
      <c r="G22" s="9"/>
      <c r="H22" s="86"/>
    </row>
    <row r="23" spans="1:8" x14ac:dyDescent="0.55000000000000004">
      <c r="A23" s="44" t="s">
        <v>81</v>
      </c>
      <c r="B23" s="9">
        <v>54</v>
      </c>
      <c r="C23" s="9">
        <v>61</v>
      </c>
      <c r="D23" s="21" t="s">
        <v>37</v>
      </c>
      <c r="E23" s="9">
        <v>4</v>
      </c>
      <c r="F23" s="9" t="s">
        <v>36</v>
      </c>
      <c r="G23" s="9"/>
      <c r="H23" s="86"/>
    </row>
    <row r="24" spans="1:8" ht="14.7" thickBot="1" x14ac:dyDescent="0.6">
      <c r="A24" s="45" t="s">
        <v>66</v>
      </c>
      <c r="B24" s="9">
        <v>52</v>
      </c>
      <c r="C24" s="9">
        <v>63</v>
      </c>
      <c r="D24" s="21" t="s">
        <v>37</v>
      </c>
      <c r="E24" s="9">
        <v>4</v>
      </c>
      <c r="F24" s="9" t="s">
        <v>36</v>
      </c>
      <c r="G24" s="9"/>
      <c r="H24" s="86"/>
    </row>
    <row r="25" spans="1:8" ht="14.7" thickBot="1" x14ac:dyDescent="0.6">
      <c r="A25" s="33" t="s">
        <v>67</v>
      </c>
      <c r="B25" s="22">
        <v>54</v>
      </c>
      <c r="C25" s="22">
        <v>69</v>
      </c>
      <c r="D25" s="26" t="s">
        <v>37</v>
      </c>
      <c r="E25" s="22">
        <v>4</v>
      </c>
      <c r="F25" s="22" t="s">
        <v>36</v>
      </c>
      <c r="G25" s="22">
        <v>532</v>
      </c>
      <c r="H25" s="75">
        <f>Tabla26952[[#This Row],[Total cluster weight (g)]]/COUNTA(A21:A25)</f>
        <v>106.4</v>
      </c>
    </row>
    <row r="26" spans="1:8" x14ac:dyDescent="0.55000000000000004">
      <c r="A26" s="6" t="s">
        <v>71</v>
      </c>
      <c r="B26" s="7">
        <v>53</v>
      </c>
      <c r="C26" s="7">
        <v>61</v>
      </c>
      <c r="D26" s="21" t="s">
        <v>37</v>
      </c>
      <c r="E26" s="9">
        <v>5</v>
      </c>
      <c r="F26" s="9" t="s">
        <v>35</v>
      </c>
      <c r="G26" s="9"/>
      <c r="H26" s="85"/>
    </row>
    <row r="27" spans="1:8" x14ac:dyDescent="0.55000000000000004">
      <c r="A27" s="8" t="s">
        <v>89</v>
      </c>
      <c r="B27" s="9">
        <v>53</v>
      </c>
      <c r="C27" s="9">
        <v>61</v>
      </c>
      <c r="D27" s="21" t="s">
        <v>37</v>
      </c>
      <c r="E27" s="9">
        <v>5</v>
      </c>
      <c r="F27" s="9" t="s">
        <v>35</v>
      </c>
      <c r="G27" s="9"/>
      <c r="H27" s="86"/>
    </row>
    <row r="28" spans="1:8" x14ac:dyDescent="0.55000000000000004">
      <c r="A28" s="10" t="s">
        <v>92</v>
      </c>
      <c r="B28" s="9">
        <v>53</v>
      </c>
      <c r="C28" s="9">
        <v>59</v>
      </c>
      <c r="D28" s="21" t="s">
        <v>37</v>
      </c>
      <c r="E28" s="9">
        <v>5</v>
      </c>
      <c r="F28" s="9" t="s">
        <v>36</v>
      </c>
      <c r="G28" s="9"/>
      <c r="H28" s="86"/>
    </row>
    <row r="29" spans="1:8" ht="14.7" thickBot="1" x14ac:dyDescent="0.6">
      <c r="A29" s="8" t="s">
        <v>93</v>
      </c>
      <c r="B29" s="9">
        <v>54</v>
      </c>
      <c r="C29" s="9">
        <v>63</v>
      </c>
      <c r="D29" s="21" t="s">
        <v>37</v>
      </c>
      <c r="E29" s="9">
        <v>5</v>
      </c>
      <c r="F29" s="9" t="s">
        <v>36</v>
      </c>
      <c r="G29" s="9"/>
      <c r="H29" s="86"/>
    </row>
    <row r="30" spans="1:8" ht="14.7" thickBot="1" x14ac:dyDescent="0.6">
      <c r="A30" s="13" t="s">
        <v>94</v>
      </c>
      <c r="B30" s="14">
        <v>52</v>
      </c>
      <c r="C30" s="14">
        <v>67</v>
      </c>
      <c r="D30" s="23" t="s">
        <v>37</v>
      </c>
      <c r="E30" s="14">
        <v>5</v>
      </c>
      <c r="F30" s="14" t="s">
        <v>36</v>
      </c>
      <c r="G30" s="14">
        <v>565.5</v>
      </c>
      <c r="H30" s="75">
        <f>Tabla26952[[#This Row],[Total cluster weight (g)]]/COUNTA(A26:A30)</f>
        <v>113.1</v>
      </c>
    </row>
    <row r="31" spans="1:8" x14ac:dyDescent="0.55000000000000004">
      <c r="A31" s="73" t="s">
        <v>95</v>
      </c>
      <c r="B31" s="20">
        <v>54</v>
      </c>
      <c r="C31" s="20">
        <v>68</v>
      </c>
      <c r="D31" s="87" t="s">
        <v>37</v>
      </c>
      <c r="E31" s="20">
        <v>6</v>
      </c>
      <c r="F31" s="20" t="s">
        <v>36</v>
      </c>
      <c r="G31" s="20"/>
      <c r="H31" s="85"/>
    </row>
    <row r="32" spans="1:8" x14ac:dyDescent="0.55000000000000004">
      <c r="A32" s="61" t="s">
        <v>144</v>
      </c>
      <c r="B32" s="9">
        <v>56</v>
      </c>
      <c r="C32" s="9">
        <v>67</v>
      </c>
      <c r="D32" s="21" t="s">
        <v>37</v>
      </c>
      <c r="E32" s="9">
        <v>6</v>
      </c>
      <c r="F32" s="9" t="s">
        <v>36</v>
      </c>
      <c r="G32" s="9"/>
      <c r="H32" s="86"/>
    </row>
    <row r="33" spans="1:8" x14ac:dyDescent="0.55000000000000004">
      <c r="A33" s="61" t="s">
        <v>150</v>
      </c>
      <c r="B33" s="9">
        <v>53</v>
      </c>
      <c r="C33" s="9">
        <v>63</v>
      </c>
      <c r="D33" s="21" t="s">
        <v>37</v>
      </c>
      <c r="E33" s="9">
        <v>6</v>
      </c>
      <c r="F33" s="9" t="s">
        <v>36</v>
      </c>
      <c r="G33" s="9"/>
      <c r="H33" s="86"/>
    </row>
    <row r="34" spans="1:8" x14ac:dyDescent="0.55000000000000004">
      <c r="A34" s="61" t="s">
        <v>151</v>
      </c>
      <c r="B34" s="9">
        <v>56</v>
      </c>
      <c r="C34" s="9">
        <v>68</v>
      </c>
      <c r="D34" s="21" t="s">
        <v>37</v>
      </c>
      <c r="E34" s="9">
        <v>6</v>
      </c>
      <c r="F34" s="9" t="s">
        <v>36</v>
      </c>
      <c r="G34" s="9"/>
      <c r="H34" s="86"/>
    </row>
    <row r="35" spans="1:8" ht="14.7" thickBot="1" x14ac:dyDescent="0.6">
      <c r="A35" s="94" t="s">
        <v>152</v>
      </c>
      <c r="B35" s="22">
        <v>53</v>
      </c>
      <c r="C35" s="22">
        <v>70</v>
      </c>
      <c r="D35" s="26" t="s">
        <v>37</v>
      </c>
      <c r="E35" s="22">
        <v>6</v>
      </c>
      <c r="F35" s="22" t="s">
        <v>36</v>
      </c>
      <c r="G35" s="22">
        <v>681.5</v>
      </c>
      <c r="H35" s="113">
        <f>Tabla26952[[#This Row],[Total cluster weight (g)]]/COUNTA(A31:A35)</f>
        <v>136.30000000000001</v>
      </c>
    </row>
    <row r="36" spans="1:8" x14ac:dyDescent="0.55000000000000004">
      <c r="A36" s="73" t="s">
        <v>153</v>
      </c>
      <c r="B36" s="20">
        <v>57</v>
      </c>
      <c r="C36" s="20">
        <v>66</v>
      </c>
      <c r="D36" s="87" t="s">
        <v>37</v>
      </c>
      <c r="E36" s="20">
        <v>7</v>
      </c>
      <c r="F36" s="20" t="s">
        <v>35</v>
      </c>
      <c r="G36" s="20"/>
      <c r="H36" s="85"/>
    </row>
    <row r="37" spans="1:8" x14ac:dyDescent="0.55000000000000004">
      <c r="A37" s="10" t="s">
        <v>158</v>
      </c>
      <c r="B37" s="9">
        <v>54</v>
      </c>
      <c r="C37" s="9">
        <v>64</v>
      </c>
      <c r="D37" s="21" t="s">
        <v>37</v>
      </c>
      <c r="E37" s="9">
        <v>7</v>
      </c>
      <c r="F37" s="9" t="s">
        <v>35</v>
      </c>
      <c r="G37" s="9"/>
      <c r="H37" s="88"/>
    </row>
    <row r="38" spans="1:8" x14ac:dyDescent="0.55000000000000004">
      <c r="A38" s="10" t="s">
        <v>215</v>
      </c>
      <c r="B38" s="9">
        <v>51</v>
      </c>
      <c r="C38" s="9">
        <v>63</v>
      </c>
      <c r="D38" s="21" t="s">
        <v>37</v>
      </c>
      <c r="E38" s="9">
        <v>7</v>
      </c>
      <c r="F38" s="9" t="s">
        <v>36</v>
      </c>
      <c r="G38" s="9"/>
      <c r="H38" s="88"/>
    </row>
    <row r="39" spans="1:8" ht="14.7" thickBot="1" x14ac:dyDescent="0.6">
      <c r="A39" s="35" t="s">
        <v>216</v>
      </c>
      <c r="B39" s="14">
        <v>54</v>
      </c>
      <c r="C39" s="14">
        <v>70</v>
      </c>
      <c r="D39" s="23" t="s">
        <v>37</v>
      </c>
      <c r="E39" s="14">
        <v>7</v>
      </c>
      <c r="F39" s="14" t="s">
        <v>36</v>
      </c>
      <c r="G39" s="14">
        <v>520</v>
      </c>
      <c r="H39" s="102">
        <f>Tabla26952[[#This Row],[Total cluster weight (g)]]/COUNTA(A36:A39)</f>
        <v>130</v>
      </c>
    </row>
    <row r="40" spans="1:8" x14ac:dyDescent="0.55000000000000004">
      <c r="A40" s="34" t="s">
        <v>217</v>
      </c>
      <c r="B40" s="12">
        <v>56</v>
      </c>
      <c r="C40" s="12">
        <v>62</v>
      </c>
      <c r="D40" s="28" t="s">
        <v>37</v>
      </c>
      <c r="E40" s="12">
        <v>8</v>
      </c>
      <c r="F40" s="12" t="s">
        <v>36</v>
      </c>
      <c r="G40" s="12"/>
      <c r="H40" s="93"/>
    </row>
    <row r="41" spans="1:8" x14ac:dyDescent="0.55000000000000004">
      <c r="A41" s="10" t="s">
        <v>218</v>
      </c>
      <c r="B41" s="9">
        <v>54</v>
      </c>
      <c r="C41" s="9">
        <v>62</v>
      </c>
      <c r="D41" s="21" t="s">
        <v>37</v>
      </c>
      <c r="E41" s="9">
        <v>8</v>
      </c>
      <c r="F41" s="9" t="s">
        <v>36</v>
      </c>
      <c r="G41" s="9"/>
      <c r="H41" s="88"/>
    </row>
    <row r="42" spans="1:8" x14ac:dyDescent="0.55000000000000004">
      <c r="A42" s="10" t="s">
        <v>219</v>
      </c>
      <c r="B42" s="9">
        <v>57</v>
      </c>
      <c r="C42" s="9">
        <v>63</v>
      </c>
      <c r="D42" s="21" t="s">
        <v>37</v>
      </c>
      <c r="E42" s="9">
        <v>8</v>
      </c>
      <c r="F42" s="9" t="s">
        <v>36</v>
      </c>
      <c r="G42" s="9"/>
      <c r="H42" s="88"/>
    </row>
    <row r="43" spans="1:8" x14ac:dyDescent="0.55000000000000004">
      <c r="A43" s="10" t="s">
        <v>222</v>
      </c>
      <c r="B43" s="9">
        <v>56</v>
      </c>
      <c r="C43" s="9">
        <v>65</v>
      </c>
      <c r="D43" s="21" t="s">
        <v>37</v>
      </c>
      <c r="E43" s="9">
        <v>8</v>
      </c>
      <c r="F43" s="9" t="s">
        <v>36</v>
      </c>
      <c r="G43" s="9"/>
      <c r="H43" s="88"/>
    </row>
    <row r="44" spans="1:8" ht="14.7" thickBot="1" x14ac:dyDescent="0.6">
      <c r="A44" s="33" t="s">
        <v>223</v>
      </c>
      <c r="B44" s="14">
        <v>55</v>
      </c>
      <c r="C44" s="14">
        <v>67</v>
      </c>
      <c r="D44" s="23" t="s">
        <v>37</v>
      </c>
      <c r="E44" s="14">
        <v>8</v>
      </c>
      <c r="F44" s="14" t="s">
        <v>36</v>
      </c>
      <c r="G44" s="14">
        <v>613.5</v>
      </c>
      <c r="H44" s="102">
        <f>Tabla26952[[#This Row],[Total cluster weight (g)]]/COUNTA(A40:A44)</f>
        <v>122.7</v>
      </c>
    </row>
    <row r="46" spans="1:8" x14ac:dyDescent="0.55000000000000004">
      <c r="A46" s="59" t="s">
        <v>167</v>
      </c>
      <c r="B46" s="55" t="s">
        <v>162</v>
      </c>
      <c r="C46" s="55" t="s">
        <v>163</v>
      </c>
      <c r="D46" s="55" t="s">
        <v>164</v>
      </c>
      <c r="E46" s="55" t="s">
        <v>165</v>
      </c>
      <c r="F46" s="56" t="s">
        <v>189</v>
      </c>
      <c r="G46" s="110" t="s">
        <v>230</v>
      </c>
    </row>
    <row r="47" spans="1:8" x14ac:dyDescent="0.55000000000000004">
      <c r="A47" s="60" t="s">
        <v>166</v>
      </c>
      <c r="B47" s="57">
        <f>AVERAGE(Tabla26952[Height (mm)])</f>
        <v>53.868421052631582</v>
      </c>
      <c r="C47" s="57">
        <f>AVERAGE(Tabla26952[Width (mm)])</f>
        <v>64.84210526315789</v>
      </c>
      <c r="D47" s="57">
        <f>MAX(Tabla26952[[Cluster number ]])</f>
        <v>8</v>
      </c>
      <c r="E47" s="57">
        <f>AVERAGE(Tabla26952[Tomato average weight per cluster])</f>
        <v>122.98750000000001</v>
      </c>
      <c r="F47" s="58">
        <f>COUNTA(Tabla26952["C1" PLANT])</f>
        <v>38</v>
      </c>
      <c r="G47" s="109">
        <f>SUM(Tabla26952[Total cluster weight (g)])</f>
        <v>4663.5</v>
      </c>
    </row>
    <row r="49" spans="1:9" ht="14.7" thickBot="1" x14ac:dyDescent="0.6">
      <c r="A49" s="5" t="s">
        <v>14</v>
      </c>
      <c r="B49" t="s">
        <v>3</v>
      </c>
      <c r="C49" t="s">
        <v>4</v>
      </c>
      <c r="D49" t="s">
        <v>5</v>
      </c>
      <c r="E49" t="s">
        <v>6</v>
      </c>
      <c r="F49" t="s">
        <v>7</v>
      </c>
      <c r="G49" t="s">
        <v>8</v>
      </c>
      <c r="H49" t="s">
        <v>161</v>
      </c>
      <c r="I49" s="4"/>
    </row>
    <row r="50" spans="1:9" x14ac:dyDescent="0.55000000000000004">
      <c r="A50" s="6" t="s">
        <v>9</v>
      </c>
      <c r="B50" s="7">
        <v>53</v>
      </c>
      <c r="C50" s="7">
        <v>73</v>
      </c>
      <c r="D50" s="7">
        <v>149.5</v>
      </c>
      <c r="E50" s="9">
        <v>1</v>
      </c>
      <c r="F50" s="30" t="s">
        <v>35</v>
      </c>
      <c r="G50" s="9"/>
      <c r="H50" s="12"/>
      <c r="I50" s="4"/>
    </row>
    <row r="51" spans="1:9" x14ac:dyDescent="0.55000000000000004">
      <c r="A51" s="8" t="s">
        <v>10</v>
      </c>
      <c r="B51" s="20">
        <v>50</v>
      </c>
      <c r="C51" s="20">
        <v>72</v>
      </c>
      <c r="D51" s="20">
        <v>136.5</v>
      </c>
      <c r="E51" s="20">
        <v>1</v>
      </c>
      <c r="F51" s="30" t="s">
        <v>35</v>
      </c>
      <c r="G51" s="9"/>
      <c r="H51" s="9"/>
    </row>
    <row r="52" spans="1:9" x14ac:dyDescent="0.55000000000000004">
      <c r="A52" s="10" t="s">
        <v>11</v>
      </c>
      <c r="B52" s="9">
        <v>49</v>
      </c>
      <c r="C52" s="9">
        <v>64</v>
      </c>
      <c r="D52" s="9">
        <v>108</v>
      </c>
      <c r="E52" s="9">
        <v>1</v>
      </c>
      <c r="F52" s="76" t="s">
        <v>36</v>
      </c>
      <c r="G52" s="9"/>
      <c r="H52" s="9"/>
    </row>
    <row r="53" spans="1:9" x14ac:dyDescent="0.55000000000000004">
      <c r="A53" s="11" t="s">
        <v>12</v>
      </c>
      <c r="B53" s="12">
        <v>48</v>
      </c>
      <c r="C53" s="12">
        <v>66</v>
      </c>
      <c r="D53" s="12">
        <v>121.5</v>
      </c>
      <c r="E53" s="12">
        <v>1</v>
      </c>
      <c r="F53" s="77" t="s">
        <v>36</v>
      </c>
      <c r="G53" s="9"/>
      <c r="H53" s="9"/>
    </row>
    <row r="54" spans="1:9" ht="14.7" thickBot="1" x14ac:dyDescent="0.6">
      <c r="A54" s="13" t="s">
        <v>13</v>
      </c>
      <c r="B54" s="14">
        <v>50</v>
      </c>
      <c r="C54" s="14">
        <v>68</v>
      </c>
      <c r="D54" s="14">
        <v>133</v>
      </c>
      <c r="E54" s="14">
        <v>1</v>
      </c>
      <c r="F54" s="78" t="s">
        <v>36</v>
      </c>
      <c r="G54" s="14">
        <v>653.5</v>
      </c>
      <c r="H54" s="14">
        <f>Tabla269553[[#This Row],[Total cluster weight (g)]]/COUNTA(A50:A54)</f>
        <v>130.69999999999999</v>
      </c>
    </row>
    <row r="55" spans="1:9" x14ac:dyDescent="0.55000000000000004">
      <c r="A55" s="11" t="s">
        <v>41</v>
      </c>
      <c r="B55" s="12">
        <v>49</v>
      </c>
      <c r="C55" s="12">
        <v>64</v>
      </c>
      <c r="D55" s="28" t="s">
        <v>37</v>
      </c>
      <c r="E55" s="12">
        <v>2</v>
      </c>
      <c r="F55" s="12" t="s">
        <v>35</v>
      </c>
      <c r="G55" s="12"/>
      <c r="H55" s="12"/>
    </row>
    <row r="56" spans="1:9" x14ac:dyDescent="0.55000000000000004">
      <c r="A56" s="10" t="s">
        <v>42</v>
      </c>
      <c r="B56" s="9">
        <v>52</v>
      </c>
      <c r="C56" s="9">
        <v>63</v>
      </c>
      <c r="D56" s="21" t="s">
        <v>37</v>
      </c>
      <c r="E56" s="9">
        <v>2</v>
      </c>
      <c r="F56" s="9" t="s">
        <v>35</v>
      </c>
      <c r="G56" s="9"/>
      <c r="H56" s="9"/>
    </row>
    <row r="57" spans="1:9" x14ac:dyDescent="0.55000000000000004">
      <c r="A57" s="10" t="s">
        <v>43</v>
      </c>
      <c r="B57" s="9">
        <v>52</v>
      </c>
      <c r="C57" s="9">
        <v>64</v>
      </c>
      <c r="D57" s="21" t="s">
        <v>37</v>
      </c>
      <c r="E57" s="9">
        <v>2</v>
      </c>
      <c r="F57" s="9" t="s">
        <v>36</v>
      </c>
      <c r="G57" s="9"/>
      <c r="H57" s="9"/>
    </row>
    <row r="58" spans="1:9" x14ac:dyDescent="0.55000000000000004">
      <c r="A58" s="10" t="s">
        <v>47</v>
      </c>
      <c r="B58" s="9">
        <v>52</v>
      </c>
      <c r="C58" s="9">
        <v>66</v>
      </c>
      <c r="D58" s="21" t="s">
        <v>37</v>
      </c>
      <c r="E58" s="9">
        <v>2</v>
      </c>
      <c r="F58" s="9" t="s">
        <v>36</v>
      </c>
      <c r="G58" s="9"/>
      <c r="H58" s="9"/>
    </row>
    <row r="59" spans="1:9" ht="14.7" thickBot="1" x14ac:dyDescent="0.6">
      <c r="A59" s="35" t="s">
        <v>48</v>
      </c>
      <c r="B59" s="14">
        <v>52</v>
      </c>
      <c r="C59" s="14">
        <v>68</v>
      </c>
      <c r="D59" s="23">
        <v>127.5</v>
      </c>
      <c r="E59" s="14">
        <v>2</v>
      </c>
      <c r="F59" s="14" t="s">
        <v>36</v>
      </c>
      <c r="G59" s="14">
        <v>592</v>
      </c>
      <c r="H59" s="14">
        <f>Tabla269553[[#This Row],[Total cluster weight (g)]]/COUNTA(A55:A59)</f>
        <v>118.4</v>
      </c>
    </row>
    <row r="60" spans="1:9" x14ac:dyDescent="0.55000000000000004">
      <c r="A60" s="6" t="s">
        <v>49</v>
      </c>
      <c r="B60" s="9">
        <v>50</v>
      </c>
      <c r="C60" s="9">
        <v>65</v>
      </c>
      <c r="D60" s="21" t="s">
        <v>37</v>
      </c>
      <c r="E60" s="9">
        <v>3</v>
      </c>
      <c r="F60" s="9" t="s">
        <v>36</v>
      </c>
      <c r="G60" s="9"/>
      <c r="H60" s="12"/>
    </row>
    <row r="61" spans="1:9" x14ac:dyDescent="0.55000000000000004">
      <c r="A61" s="8" t="s">
        <v>50</v>
      </c>
      <c r="B61" s="9">
        <v>53</v>
      </c>
      <c r="C61" s="9">
        <v>65</v>
      </c>
      <c r="D61" s="21" t="s">
        <v>37</v>
      </c>
      <c r="E61" s="9">
        <v>3</v>
      </c>
      <c r="F61" s="9" t="s">
        <v>36</v>
      </c>
      <c r="G61" s="9"/>
      <c r="H61" s="9"/>
    </row>
    <row r="62" spans="1:9" x14ac:dyDescent="0.55000000000000004">
      <c r="A62" s="10" t="s">
        <v>51</v>
      </c>
      <c r="B62" s="9">
        <v>56</v>
      </c>
      <c r="C62" s="9">
        <v>67</v>
      </c>
      <c r="D62" s="21" t="s">
        <v>37</v>
      </c>
      <c r="E62" s="9">
        <v>3</v>
      </c>
      <c r="F62" s="9" t="s">
        <v>36</v>
      </c>
      <c r="G62" s="9"/>
      <c r="H62" s="9"/>
    </row>
    <row r="63" spans="1:9" x14ac:dyDescent="0.55000000000000004">
      <c r="A63" s="11" t="s">
        <v>52</v>
      </c>
      <c r="B63" s="9">
        <v>54</v>
      </c>
      <c r="C63" s="9">
        <v>72</v>
      </c>
      <c r="D63" s="21" t="s">
        <v>37</v>
      </c>
      <c r="E63" s="9">
        <v>3</v>
      </c>
      <c r="F63" s="9" t="s">
        <v>36</v>
      </c>
      <c r="G63" s="9"/>
      <c r="H63" s="9"/>
    </row>
    <row r="64" spans="1:9" ht="14.7" thickBot="1" x14ac:dyDescent="0.6">
      <c r="A64" s="13" t="s">
        <v>53</v>
      </c>
      <c r="B64" s="14">
        <v>55</v>
      </c>
      <c r="C64" s="14">
        <v>70</v>
      </c>
      <c r="D64" s="23" t="s">
        <v>37</v>
      </c>
      <c r="E64" s="14">
        <v>3</v>
      </c>
      <c r="F64" s="14" t="s">
        <v>36</v>
      </c>
      <c r="G64" s="14">
        <v>660.5</v>
      </c>
      <c r="H64" s="14">
        <f>Tabla269553[[#This Row],[Total cluster weight (g)]]/COUNTA(A60:A64)</f>
        <v>132.1</v>
      </c>
    </row>
    <row r="65" spans="1:8" x14ac:dyDescent="0.55000000000000004">
      <c r="A65" s="29" t="s">
        <v>80</v>
      </c>
      <c r="B65" s="9">
        <v>53</v>
      </c>
      <c r="C65" s="9">
        <v>61</v>
      </c>
      <c r="D65" s="21" t="s">
        <v>37</v>
      </c>
      <c r="E65" s="9">
        <v>4</v>
      </c>
      <c r="F65" s="30" t="s">
        <v>68</v>
      </c>
      <c r="G65" s="9"/>
      <c r="H65" s="88"/>
    </row>
    <row r="66" spans="1:8" x14ac:dyDescent="0.55000000000000004">
      <c r="A66" s="29" t="s">
        <v>81</v>
      </c>
      <c r="B66" s="9">
        <v>52</v>
      </c>
      <c r="C66" s="9">
        <v>66</v>
      </c>
      <c r="D66" s="21" t="s">
        <v>37</v>
      </c>
      <c r="E66" s="9">
        <v>4</v>
      </c>
      <c r="F66" s="30" t="s">
        <v>35</v>
      </c>
      <c r="G66" s="9"/>
      <c r="H66" s="88"/>
    </row>
    <row r="67" spans="1:8" x14ac:dyDescent="0.55000000000000004">
      <c r="A67" s="29" t="s">
        <v>66</v>
      </c>
      <c r="B67" s="9">
        <v>53</v>
      </c>
      <c r="C67" s="9">
        <v>65</v>
      </c>
      <c r="D67" s="21" t="s">
        <v>37</v>
      </c>
      <c r="E67" s="9">
        <v>4</v>
      </c>
      <c r="F67" s="30" t="s">
        <v>36</v>
      </c>
      <c r="G67" s="9"/>
      <c r="H67" s="88"/>
    </row>
    <row r="68" spans="1:8" x14ac:dyDescent="0.55000000000000004">
      <c r="A68" s="29" t="s">
        <v>67</v>
      </c>
      <c r="B68" s="9">
        <v>51</v>
      </c>
      <c r="C68" s="9">
        <v>63</v>
      </c>
      <c r="D68" s="21" t="s">
        <v>37</v>
      </c>
      <c r="E68" s="9">
        <v>4</v>
      </c>
      <c r="F68" s="30" t="s">
        <v>36</v>
      </c>
      <c r="G68" s="9"/>
      <c r="H68" s="88"/>
    </row>
    <row r="69" spans="1:8" ht="14.7" thickBot="1" x14ac:dyDescent="0.6">
      <c r="A69" s="29" t="s">
        <v>71</v>
      </c>
      <c r="B69" s="20">
        <v>53</v>
      </c>
      <c r="C69" s="20">
        <v>71</v>
      </c>
      <c r="D69" s="23" t="s">
        <v>37</v>
      </c>
      <c r="E69" s="14">
        <v>4</v>
      </c>
      <c r="F69" s="82" t="s">
        <v>36</v>
      </c>
      <c r="G69" s="14">
        <v>597</v>
      </c>
      <c r="H69" s="102">
        <f>Tabla269553[[#This Row],[Total cluster weight (g)]]/COUNTA(A65:A69)</f>
        <v>119.4</v>
      </c>
    </row>
    <row r="70" spans="1:8" x14ac:dyDescent="0.55000000000000004">
      <c r="A70" s="6" t="s">
        <v>89</v>
      </c>
      <c r="B70" s="7">
        <v>38</v>
      </c>
      <c r="C70" s="7">
        <v>47</v>
      </c>
      <c r="D70" s="28" t="s">
        <v>37</v>
      </c>
      <c r="E70" s="12">
        <v>5</v>
      </c>
      <c r="F70" s="12" t="s">
        <v>61</v>
      </c>
      <c r="G70" s="12"/>
      <c r="H70" s="93"/>
    </row>
    <row r="71" spans="1:8" x14ac:dyDescent="0.55000000000000004">
      <c r="A71" s="8" t="s">
        <v>92</v>
      </c>
      <c r="B71" s="9">
        <v>39</v>
      </c>
      <c r="C71" s="9">
        <v>50</v>
      </c>
      <c r="D71" s="21" t="s">
        <v>37</v>
      </c>
      <c r="E71" s="9">
        <v>5</v>
      </c>
      <c r="F71" s="9" t="s">
        <v>35</v>
      </c>
      <c r="G71" s="9"/>
      <c r="H71" s="88"/>
    </row>
    <row r="72" spans="1:8" x14ac:dyDescent="0.55000000000000004">
      <c r="A72" s="10" t="s">
        <v>93</v>
      </c>
      <c r="B72" s="9">
        <v>42</v>
      </c>
      <c r="C72" s="9">
        <v>54</v>
      </c>
      <c r="D72" s="21" t="s">
        <v>37</v>
      </c>
      <c r="E72" s="9">
        <v>5</v>
      </c>
      <c r="F72" s="9" t="s">
        <v>36</v>
      </c>
      <c r="G72" s="9"/>
      <c r="H72" s="88"/>
    </row>
    <row r="73" spans="1:8" x14ac:dyDescent="0.55000000000000004">
      <c r="A73" s="11" t="s">
        <v>94</v>
      </c>
      <c r="B73" s="12">
        <v>43</v>
      </c>
      <c r="C73" s="12">
        <v>53</v>
      </c>
      <c r="D73" s="21" t="s">
        <v>37</v>
      </c>
      <c r="E73" s="9">
        <v>5</v>
      </c>
      <c r="F73" s="9" t="s">
        <v>36</v>
      </c>
      <c r="G73" s="9"/>
      <c r="H73" s="88"/>
    </row>
    <row r="74" spans="1:8" ht="14.7" thickBot="1" x14ac:dyDescent="0.6">
      <c r="A74" s="13" t="s">
        <v>95</v>
      </c>
      <c r="B74" s="14">
        <v>46</v>
      </c>
      <c r="C74" s="14">
        <v>59</v>
      </c>
      <c r="D74" s="23" t="s">
        <v>37</v>
      </c>
      <c r="E74" s="14">
        <v>5</v>
      </c>
      <c r="F74" s="14" t="s">
        <v>36</v>
      </c>
      <c r="G74" s="14">
        <v>328</v>
      </c>
      <c r="H74" s="102">
        <f>Tabla269553[[#This Row],[Total cluster weight (g)]]/COUNTA(A70:A74)</f>
        <v>65.599999999999994</v>
      </c>
    </row>
    <row r="75" spans="1:8" x14ac:dyDescent="0.55000000000000004">
      <c r="A75" s="29" t="s">
        <v>144</v>
      </c>
      <c r="B75" s="9">
        <v>50</v>
      </c>
      <c r="C75" s="9">
        <v>63</v>
      </c>
      <c r="D75" s="21" t="s">
        <v>37</v>
      </c>
      <c r="E75" s="9">
        <v>6</v>
      </c>
      <c r="F75" s="30" t="s">
        <v>231</v>
      </c>
      <c r="G75" s="9"/>
      <c r="H75" s="88"/>
    </row>
    <row r="76" spans="1:8" x14ac:dyDescent="0.55000000000000004">
      <c r="A76" s="29" t="s">
        <v>150</v>
      </c>
      <c r="B76" s="9">
        <v>52</v>
      </c>
      <c r="C76" s="9">
        <v>60</v>
      </c>
      <c r="D76" s="21" t="s">
        <v>37</v>
      </c>
      <c r="E76" s="9">
        <v>6</v>
      </c>
      <c r="F76" s="30" t="s">
        <v>36</v>
      </c>
      <c r="G76" s="9"/>
      <c r="H76" s="88"/>
    </row>
    <row r="77" spans="1:8" x14ac:dyDescent="0.55000000000000004">
      <c r="A77" s="29" t="s">
        <v>151</v>
      </c>
      <c r="B77" s="9">
        <v>51</v>
      </c>
      <c r="C77" s="9">
        <v>66</v>
      </c>
      <c r="D77" s="21" t="s">
        <v>37</v>
      </c>
      <c r="E77" s="9">
        <v>6</v>
      </c>
      <c r="F77" s="30" t="s">
        <v>36</v>
      </c>
      <c r="G77" s="9"/>
      <c r="H77" s="88"/>
    </row>
    <row r="78" spans="1:8" x14ac:dyDescent="0.55000000000000004">
      <c r="A78" s="29" t="s">
        <v>152</v>
      </c>
      <c r="B78" s="9">
        <v>53</v>
      </c>
      <c r="C78" s="9">
        <v>66</v>
      </c>
      <c r="D78" s="21" t="s">
        <v>37</v>
      </c>
      <c r="E78" s="9">
        <v>6</v>
      </c>
      <c r="F78" s="30" t="s">
        <v>36</v>
      </c>
      <c r="G78" s="9"/>
      <c r="H78" s="88"/>
    </row>
    <row r="79" spans="1:8" ht="14.7" thickBot="1" x14ac:dyDescent="0.6">
      <c r="A79" s="91" t="s">
        <v>153</v>
      </c>
      <c r="B79" s="14">
        <v>55</v>
      </c>
      <c r="C79" s="14">
        <v>75</v>
      </c>
      <c r="D79" s="23" t="s">
        <v>37</v>
      </c>
      <c r="E79" s="14">
        <v>6</v>
      </c>
      <c r="F79" s="82" t="s">
        <v>36</v>
      </c>
      <c r="G79" s="14">
        <v>600.5</v>
      </c>
      <c r="H79" s="102">
        <f>Tabla269553[[#This Row],[Total cluster weight (g)]]/COUNTA(A75:A79)</f>
        <v>120.1</v>
      </c>
    </row>
    <row r="80" spans="1:8" x14ac:dyDescent="0.55000000000000004">
      <c r="A80" s="29" t="s">
        <v>158</v>
      </c>
      <c r="B80" s="9">
        <v>47</v>
      </c>
      <c r="C80" s="9">
        <v>65</v>
      </c>
      <c r="D80" s="21" t="s">
        <v>37</v>
      </c>
      <c r="E80" s="9">
        <v>7</v>
      </c>
      <c r="F80" s="30" t="s">
        <v>35</v>
      </c>
      <c r="G80" s="9"/>
      <c r="H80" s="88"/>
    </row>
    <row r="81" spans="1:9" x14ac:dyDescent="0.55000000000000004">
      <c r="A81" s="29" t="s">
        <v>215</v>
      </c>
      <c r="B81" s="9">
        <v>50</v>
      </c>
      <c r="C81" s="9">
        <v>61</v>
      </c>
      <c r="D81" s="21" t="s">
        <v>37</v>
      </c>
      <c r="E81" s="9">
        <v>7</v>
      </c>
      <c r="F81" s="30" t="s">
        <v>36</v>
      </c>
      <c r="G81" s="9"/>
      <c r="H81" s="88"/>
    </row>
    <row r="82" spans="1:9" x14ac:dyDescent="0.55000000000000004">
      <c r="A82" s="29" t="s">
        <v>216</v>
      </c>
      <c r="B82" s="9">
        <v>50</v>
      </c>
      <c r="C82" s="9">
        <v>64</v>
      </c>
      <c r="D82" s="21" t="s">
        <v>37</v>
      </c>
      <c r="E82" s="9">
        <v>7</v>
      </c>
      <c r="F82" s="30" t="s">
        <v>36</v>
      </c>
      <c r="G82" s="9"/>
      <c r="H82" s="88"/>
    </row>
    <row r="83" spans="1:9" x14ac:dyDescent="0.55000000000000004">
      <c r="A83" s="29" t="s">
        <v>217</v>
      </c>
      <c r="B83" s="9">
        <v>48</v>
      </c>
      <c r="C83" s="9">
        <v>62</v>
      </c>
      <c r="D83" s="21" t="s">
        <v>37</v>
      </c>
      <c r="E83" s="9">
        <v>7</v>
      </c>
      <c r="F83" s="30" t="s">
        <v>36</v>
      </c>
      <c r="G83" s="9"/>
      <c r="H83" s="88"/>
    </row>
    <row r="84" spans="1:9" ht="14.7" thickBot="1" x14ac:dyDescent="0.6">
      <c r="A84" s="91" t="s">
        <v>218</v>
      </c>
      <c r="B84" s="14">
        <v>53</v>
      </c>
      <c r="C84" s="14">
        <v>73</v>
      </c>
      <c r="D84" s="23" t="s">
        <v>37</v>
      </c>
      <c r="E84" s="14">
        <v>7</v>
      </c>
      <c r="F84" s="82" t="s">
        <v>36</v>
      </c>
      <c r="G84" s="14">
        <v>584.5</v>
      </c>
      <c r="H84" s="102">
        <f>Tabla269553[[#This Row],[Total cluster weight (g)]]/COUNTA(A80:A84)</f>
        <v>116.9</v>
      </c>
    </row>
    <row r="85" spans="1:9" x14ac:dyDescent="0.55000000000000004">
      <c r="A85" s="29" t="s">
        <v>251</v>
      </c>
      <c r="B85" s="9">
        <v>50</v>
      </c>
      <c r="C85" s="9">
        <v>63</v>
      </c>
      <c r="D85" s="21" t="s">
        <v>37</v>
      </c>
      <c r="E85" s="9">
        <v>8</v>
      </c>
      <c r="F85" s="30" t="s">
        <v>35</v>
      </c>
      <c r="G85" s="9"/>
      <c r="H85" s="88"/>
      <c r="I85" t="s">
        <v>56</v>
      </c>
    </row>
    <row r="86" spans="1:9" x14ac:dyDescent="0.55000000000000004">
      <c r="A86" s="29" t="s">
        <v>252</v>
      </c>
      <c r="B86" s="9">
        <v>48</v>
      </c>
      <c r="C86" s="9">
        <v>55</v>
      </c>
      <c r="D86" s="21" t="s">
        <v>37</v>
      </c>
      <c r="E86" s="9">
        <v>8</v>
      </c>
      <c r="F86" s="30" t="s">
        <v>36</v>
      </c>
      <c r="G86" s="9"/>
      <c r="H86" s="88"/>
    </row>
    <row r="87" spans="1:9" x14ac:dyDescent="0.55000000000000004">
      <c r="A87" s="29" t="s">
        <v>253</v>
      </c>
      <c r="B87" s="9">
        <v>45</v>
      </c>
      <c r="C87" s="9">
        <v>57</v>
      </c>
      <c r="D87" s="21" t="s">
        <v>37</v>
      </c>
      <c r="E87" s="9">
        <v>8</v>
      </c>
      <c r="F87" s="30" t="s">
        <v>36</v>
      </c>
      <c r="G87" s="9"/>
      <c r="H87" s="88"/>
    </row>
    <row r="88" spans="1:9" x14ac:dyDescent="0.55000000000000004">
      <c r="A88" s="29" t="s">
        <v>232</v>
      </c>
      <c r="B88" s="9">
        <v>51</v>
      </c>
      <c r="C88" s="9">
        <v>64</v>
      </c>
      <c r="D88" s="21" t="s">
        <v>37</v>
      </c>
      <c r="E88" s="9">
        <v>8</v>
      </c>
      <c r="F88" s="30" t="s">
        <v>36</v>
      </c>
      <c r="G88" s="9"/>
      <c r="H88" s="88"/>
    </row>
    <row r="89" spans="1:9" ht="14.7" thickBot="1" x14ac:dyDescent="0.6">
      <c r="A89" s="91" t="s">
        <v>233</v>
      </c>
      <c r="B89" s="14">
        <v>52</v>
      </c>
      <c r="C89" s="14">
        <v>68</v>
      </c>
      <c r="D89" s="23" t="s">
        <v>37</v>
      </c>
      <c r="E89" s="14">
        <v>8</v>
      </c>
      <c r="F89" s="82" t="s">
        <v>36</v>
      </c>
      <c r="G89" s="14">
        <v>515</v>
      </c>
      <c r="H89" s="102">
        <f>Tabla269553[[#This Row],[Total cluster weight (g)]]/COUNTA(A85:A89)</f>
        <v>103</v>
      </c>
    </row>
    <row r="90" spans="1:9" x14ac:dyDescent="0.55000000000000004">
      <c r="A90" s="6" t="s">
        <v>234</v>
      </c>
      <c r="B90" s="9">
        <v>53</v>
      </c>
      <c r="C90" s="9">
        <v>61</v>
      </c>
      <c r="D90" s="9" t="s">
        <v>37</v>
      </c>
      <c r="E90" s="9">
        <v>9</v>
      </c>
      <c r="F90" s="9" t="s">
        <v>35</v>
      </c>
      <c r="G90" s="9"/>
      <c r="H90" s="88"/>
    </row>
    <row r="91" spans="1:9" x14ac:dyDescent="0.55000000000000004">
      <c r="A91" s="8" t="s">
        <v>235</v>
      </c>
      <c r="B91" s="9">
        <v>53</v>
      </c>
      <c r="C91" s="9">
        <v>63</v>
      </c>
      <c r="D91" s="9" t="s">
        <v>37</v>
      </c>
      <c r="E91" s="9">
        <v>9</v>
      </c>
      <c r="F91" s="9" t="s">
        <v>36</v>
      </c>
      <c r="G91" s="9"/>
      <c r="H91" s="88"/>
    </row>
    <row r="92" spans="1:9" x14ac:dyDescent="0.55000000000000004">
      <c r="A92" s="10" t="s">
        <v>236</v>
      </c>
      <c r="B92" s="9">
        <v>54</v>
      </c>
      <c r="C92" s="9">
        <v>68</v>
      </c>
      <c r="D92" s="9" t="s">
        <v>37</v>
      </c>
      <c r="E92" s="9">
        <v>9</v>
      </c>
      <c r="F92" s="9" t="s">
        <v>36</v>
      </c>
      <c r="G92" s="9"/>
      <c r="H92" s="88"/>
    </row>
    <row r="93" spans="1:9" x14ac:dyDescent="0.55000000000000004">
      <c r="A93" s="11" t="s">
        <v>248</v>
      </c>
      <c r="B93" s="9">
        <v>55</v>
      </c>
      <c r="C93" s="9">
        <v>68</v>
      </c>
      <c r="D93" s="9" t="s">
        <v>37</v>
      </c>
      <c r="E93" s="9">
        <v>9</v>
      </c>
      <c r="F93" s="9" t="s">
        <v>36</v>
      </c>
      <c r="G93" s="9"/>
      <c r="H93" s="88"/>
    </row>
    <row r="94" spans="1:9" ht="14.7" thickBot="1" x14ac:dyDescent="0.6">
      <c r="A94" s="13" t="s">
        <v>249</v>
      </c>
      <c r="B94" s="14">
        <v>55</v>
      </c>
      <c r="C94" s="14">
        <v>70</v>
      </c>
      <c r="D94" s="14" t="s">
        <v>37</v>
      </c>
      <c r="E94" s="14">
        <v>9</v>
      </c>
      <c r="F94" s="14" t="s">
        <v>36</v>
      </c>
      <c r="G94" s="14">
        <v>633.5</v>
      </c>
      <c r="H94" s="102">
        <f>Tabla269553[[#This Row],[Total cluster weight (g)]]/COUNTA(A90:A94)</f>
        <v>126.7</v>
      </c>
    </row>
    <row r="95" spans="1:9" x14ac:dyDescent="0.55000000000000004">
      <c r="A95" s="29"/>
      <c r="B95" s="30"/>
      <c r="C95" s="4"/>
      <c r="D95" s="31"/>
      <c r="E95" s="4"/>
      <c r="F95" s="4"/>
      <c r="G95" s="4"/>
    </row>
    <row r="96" spans="1:9" x14ac:dyDescent="0.55000000000000004">
      <c r="A96" s="59" t="s">
        <v>188</v>
      </c>
      <c r="B96" s="55" t="s">
        <v>162</v>
      </c>
      <c r="C96" s="55" t="s">
        <v>163</v>
      </c>
      <c r="D96" s="55" t="s">
        <v>164</v>
      </c>
      <c r="E96" s="55" t="s">
        <v>165</v>
      </c>
      <c r="F96" s="56" t="s">
        <v>189</v>
      </c>
      <c r="G96" s="110" t="s">
        <v>230</v>
      </c>
    </row>
    <row r="97" spans="1:8" x14ac:dyDescent="0.55000000000000004">
      <c r="A97" s="60" t="s">
        <v>166</v>
      </c>
      <c r="B97" s="57">
        <f>AVERAGE(Tabla269553[Height (mm)])</f>
        <v>50.444444444444443</v>
      </c>
      <c r="C97" s="57">
        <f>AVERAGE(Tabla269553[Width (mm)])</f>
        <v>64.177777777777777</v>
      </c>
      <c r="D97" s="57">
        <f>MAX(Tabla269553[[Cluster number ]])</f>
        <v>9</v>
      </c>
      <c r="E97" s="57">
        <f>AVERAGE(Tabla269553[Tomato average weight per cluster])</f>
        <v>114.76666666666668</v>
      </c>
      <c r="F97" s="58">
        <f>COUNTA(Tabla269553["C2" PLANT])</f>
        <v>45</v>
      </c>
      <c r="G97" s="109">
        <f>SUM(Tabla269553[Total cluster weight (g)])</f>
        <v>5164.5</v>
      </c>
    </row>
    <row r="99" spans="1:8" ht="14.7" thickBot="1" x14ac:dyDescent="0.6">
      <c r="A99" s="5" t="s">
        <v>15</v>
      </c>
      <c r="B99" t="s">
        <v>3</v>
      </c>
      <c r="C99" t="s">
        <v>4</v>
      </c>
      <c r="D99" t="s">
        <v>5</v>
      </c>
      <c r="E99" t="s">
        <v>6</v>
      </c>
      <c r="F99" t="s">
        <v>7</v>
      </c>
      <c r="G99" t="s">
        <v>8</v>
      </c>
      <c r="H99" t="s">
        <v>161</v>
      </c>
    </row>
    <row r="100" spans="1:8" x14ac:dyDescent="0.55000000000000004">
      <c r="A100" s="6" t="s">
        <v>9</v>
      </c>
      <c r="B100" s="9">
        <v>48</v>
      </c>
      <c r="C100" s="9">
        <v>60</v>
      </c>
      <c r="D100" s="21" t="s">
        <v>37</v>
      </c>
      <c r="E100" s="9">
        <v>1</v>
      </c>
      <c r="F100" s="9" t="s">
        <v>36</v>
      </c>
      <c r="G100" s="9"/>
      <c r="H100" s="12"/>
    </row>
    <row r="101" spans="1:8" x14ac:dyDescent="0.55000000000000004">
      <c r="A101" s="8" t="s">
        <v>10</v>
      </c>
      <c r="B101" s="9">
        <v>48</v>
      </c>
      <c r="C101" s="9">
        <v>61</v>
      </c>
      <c r="D101" s="21" t="s">
        <v>37</v>
      </c>
      <c r="E101" s="9">
        <v>1</v>
      </c>
      <c r="F101" s="9" t="s">
        <v>36</v>
      </c>
      <c r="G101" s="9"/>
      <c r="H101" s="9"/>
    </row>
    <row r="102" spans="1:8" x14ac:dyDescent="0.55000000000000004">
      <c r="A102" s="10" t="s">
        <v>11</v>
      </c>
      <c r="B102" s="9">
        <v>50</v>
      </c>
      <c r="C102" s="9">
        <v>63</v>
      </c>
      <c r="D102" s="21" t="s">
        <v>37</v>
      </c>
      <c r="E102" s="9">
        <v>1</v>
      </c>
      <c r="F102" s="9" t="s">
        <v>36</v>
      </c>
      <c r="G102" s="9"/>
      <c r="H102" s="9"/>
    </row>
    <row r="103" spans="1:8" x14ac:dyDescent="0.55000000000000004">
      <c r="A103" s="11" t="s">
        <v>12</v>
      </c>
      <c r="B103" s="9">
        <v>47</v>
      </c>
      <c r="C103" s="9">
        <v>62</v>
      </c>
      <c r="D103" s="21" t="s">
        <v>37</v>
      </c>
      <c r="E103" s="9">
        <v>1</v>
      </c>
      <c r="F103" s="9" t="s">
        <v>36</v>
      </c>
      <c r="G103" s="9"/>
      <c r="H103" s="9"/>
    </row>
    <row r="104" spans="1:8" ht="14.7" thickBot="1" x14ac:dyDescent="0.6">
      <c r="A104" s="13" t="s">
        <v>13</v>
      </c>
      <c r="B104" s="14">
        <v>46</v>
      </c>
      <c r="C104" s="14">
        <v>62</v>
      </c>
      <c r="D104" s="23" t="s">
        <v>37</v>
      </c>
      <c r="E104" s="14">
        <v>1</v>
      </c>
      <c r="F104" s="14" t="s">
        <v>36</v>
      </c>
      <c r="G104" s="14">
        <v>528.5</v>
      </c>
      <c r="H104" s="15">
        <f>Tabla269654[[#This Row],[Total cluster weight (g)]]/COUNTA(A100:A104)</f>
        <v>105.7</v>
      </c>
    </row>
    <row r="105" spans="1:8" x14ac:dyDescent="0.55000000000000004">
      <c r="A105" s="11" t="s">
        <v>41</v>
      </c>
      <c r="B105" s="12">
        <v>49</v>
      </c>
      <c r="C105" s="12">
        <v>57</v>
      </c>
      <c r="D105" s="28" t="s">
        <v>37</v>
      </c>
      <c r="E105" s="12">
        <v>2</v>
      </c>
      <c r="F105" s="12" t="s">
        <v>36</v>
      </c>
      <c r="G105" s="12"/>
      <c r="H105" s="12"/>
    </row>
    <row r="106" spans="1:8" x14ac:dyDescent="0.55000000000000004">
      <c r="A106" s="8" t="s">
        <v>42</v>
      </c>
      <c r="B106" s="9">
        <v>53</v>
      </c>
      <c r="C106" s="9">
        <v>63</v>
      </c>
      <c r="D106" s="21" t="s">
        <v>37</v>
      </c>
      <c r="E106" s="9">
        <v>2</v>
      </c>
      <c r="F106" s="9" t="s">
        <v>36</v>
      </c>
      <c r="G106" s="9"/>
      <c r="H106" s="9"/>
    </row>
    <row r="107" spans="1:8" x14ac:dyDescent="0.55000000000000004">
      <c r="A107" s="10" t="s">
        <v>43</v>
      </c>
      <c r="B107" s="9">
        <v>51</v>
      </c>
      <c r="C107" s="9">
        <v>63</v>
      </c>
      <c r="D107" s="21" t="s">
        <v>37</v>
      </c>
      <c r="E107" s="9">
        <v>2</v>
      </c>
      <c r="F107" s="9" t="s">
        <v>36</v>
      </c>
      <c r="G107" s="9"/>
      <c r="H107" s="9"/>
    </row>
    <row r="108" spans="1:8" x14ac:dyDescent="0.55000000000000004">
      <c r="A108" s="34" t="s">
        <v>47</v>
      </c>
      <c r="B108" s="9">
        <v>56</v>
      </c>
      <c r="C108" s="9">
        <v>64</v>
      </c>
      <c r="D108" s="21">
        <v>121.5</v>
      </c>
      <c r="E108" s="9">
        <v>2</v>
      </c>
      <c r="F108" s="9" t="s">
        <v>36</v>
      </c>
      <c r="G108" s="9"/>
      <c r="H108" s="9"/>
    </row>
    <row r="109" spans="1:8" ht="14.7" thickBot="1" x14ac:dyDescent="0.6">
      <c r="A109" s="35" t="s">
        <v>48</v>
      </c>
      <c r="B109" s="14">
        <v>55</v>
      </c>
      <c r="C109" s="14">
        <v>64</v>
      </c>
      <c r="D109" s="23" t="s">
        <v>37</v>
      </c>
      <c r="E109" s="14">
        <v>2</v>
      </c>
      <c r="F109" s="14" t="s">
        <v>36</v>
      </c>
      <c r="G109" s="14">
        <v>545</v>
      </c>
      <c r="H109" s="15">
        <f>Tabla269654[[#This Row],[Total cluster weight (g)]]/COUNTA(A105:A109)</f>
        <v>109</v>
      </c>
    </row>
    <row r="110" spans="1:8" x14ac:dyDescent="0.55000000000000004">
      <c r="A110" s="11" t="s">
        <v>49</v>
      </c>
      <c r="B110" s="9">
        <v>47</v>
      </c>
      <c r="C110" s="9">
        <v>61</v>
      </c>
      <c r="D110" s="21" t="s">
        <v>37</v>
      </c>
      <c r="E110" s="9">
        <v>3</v>
      </c>
      <c r="F110" s="9" t="s">
        <v>35</v>
      </c>
      <c r="G110" s="9"/>
      <c r="H110" s="12"/>
    </row>
    <row r="111" spans="1:8" x14ac:dyDescent="0.55000000000000004">
      <c r="A111" s="8" t="s">
        <v>50</v>
      </c>
      <c r="B111" s="9">
        <v>46</v>
      </c>
      <c r="C111" s="9">
        <v>59</v>
      </c>
      <c r="D111" s="21" t="s">
        <v>37</v>
      </c>
      <c r="E111" s="9">
        <v>3</v>
      </c>
      <c r="F111" s="9" t="s">
        <v>36</v>
      </c>
      <c r="G111" s="9"/>
      <c r="H111" s="9"/>
    </row>
    <row r="112" spans="1:8" x14ac:dyDescent="0.55000000000000004">
      <c r="A112" s="10" t="s">
        <v>51</v>
      </c>
      <c r="B112" s="9">
        <v>51</v>
      </c>
      <c r="C112" s="9">
        <v>63</v>
      </c>
      <c r="D112" s="21" t="s">
        <v>37</v>
      </c>
      <c r="E112" s="9">
        <v>3</v>
      </c>
      <c r="F112" s="9" t="s">
        <v>36</v>
      </c>
      <c r="G112" s="9"/>
      <c r="H112" s="9"/>
    </row>
    <row r="113" spans="1:9" x14ac:dyDescent="0.55000000000000004">
      <c r="A113" s="11" t="s">
        <v>52</v>
      </c>
      <c r="B113" s="9">
        <v>50</v>
      </c>
      <c r="C113" s="9">
        <v>60</v>
      </c>
      <c r="D113" s="21" t="s">
        <v>37</v>
      </c>
      <c r="E113" s="9">
        <v>3</v>
      </c>
      <c r="F113" s="9" t="s">
        <v>36</v>
      </c>
      <c r="G113" s="9"/>
      <c r="H113" s="9"/>
    </row>
    <row r="114" spans="1:9" ht="14.7" thickBot="1" x14ac:dyDescent="0.6">
      <c r="A114" s="13" t="s">
        <v>53</v>
      </c>
      <c r="B114" s="14">
        <v>52</v>
      </c>
      <c r="C114" s="14">
        <v>61</v>
      </c>
      <c r="D114" s="23" t="s">
        <v>37</v>
      </c>
      <c r="E114" s="14">
        <v>3</v>
      </c>
      <c r="F114" s="14" t="s">
        <v>36</v>
      </c>
      <c r="G114" s="14">
        <v>483.5</v>
      </c>
      <c r="H114" s="15">
        <f>Tabla269654[[#This Row],[Total cluster weight (g)]]/COUNTA(A110:A114)</f>
        <v>96.7</v>
      </c>
    </row>
    <row r="115" spans="1:9" x14ac:dyDescent="0.55000000000000004">
      <c r="A115" s="6" t="s">
        <v>85</v>
      </c>
      <c r="B115" s="9">
        <v>53</v>
      </c>
      <c r="C115" s="9">
        <v>65</v>
      </c>
      <c r="D115" s="21" t="s">
        <v>37</v>
      </c>
      <c r="E115" s="9">
        <v>4</v>
      </c>
      <c r="F115" s="9" t="s">
        <v>68</v>
      </c>
      <c r="G115" s="9"/>
      <c r="H115" s="12"/>
      <c r="I115" t="s">
        <v>56</v>
      </c>
    </row>
    <row r="116" spans="1:9" x14ac:dyDescent="0.55000000000000004">
      <c r="A116" s="8" t="s">
        <v>74</v>
      </c>
      <c r="B116" s="9">
        <v>52</v>
      </c>
      <c r="C116" s="9">
        <v>66</v>
      </c>
      <c r="D116" s="21" t="s">
        <v>37</v>
      </c>
      <c r="E116" s="9">
        <v>4</v>
      </c>
      <c r="F116" s="9" t="s">
        <v>36</v>
      </c>
      <c r="G116" s="9"/>
      <c r="H116" s="9"/>
    </row>
    <row r="117" spans="1:9" x14ac:dyDescent="0.55000000000000004">
      <c r="A117" s="10" t="s">
        <v>86</v>
      </c>
      <c r="B117" s="9">
        <v>51</v>
      </c>
      <c r="C117" s="9">
        <v>65</v>
      </c>
      <c r="D117" s="21" t="s">
        <v>37</v>
      </c>
      <c r="E117" s="9">
        <v>4</v>
      </c>
      <c r="F117" s="9" t="s">
        <v>36</v>
      </c>
      <c r="G117" s="9"/>
      <c r="H117" s="9"/>
    </row>
    <row r="118" spans="1:9" x14ac:dyDescent="0.55000000000000004">
      <c r="A118" s="11" t="s">
        <v>67</v>
      </c>
      <c r="B118" s="9">
        <v>53</v>
      </c>
      <c r="C118" s="9">
        <v>71</v>
      </c>
      <c r="D118" s="21" t="s">
        <v>37</v>
      </c>
      <c r="E118" s="9">
        <v>4</v>
      </c>
      <c r="F118" s="9" t="s">
        <v>36</v>
      </c>
      <c r="G118" s="9"/>
      <c r="H118" s="9"/>
    </row>
    <row r="119" spans="1:9" ht="14.7" thickBot="1" x14ac:dyDescent="0.6">
      <c r="A119" s="13" t="s">
        <v>71</v>
      </c>
      <c r="B119" s="14">
        <v>51</v>
      </c>
      <c r="C119" s="14">
        <v>67</v>
      </c>
      <c r="D119" s="23" t="s">
        <v>37</v>
      </c>
      <c r="E119" s="14">
        <v>4</v>
      </c>
      <c r="F119" s="14" t="s">
        <v>36</v>
      </c>
      <c r="G119" s="14">
        <v>572</v>
      </c>
      <c r="H119" s="15">
        <f>Tabla269654[[#This Row],[Total cluster weight (g)]]/COUNTA(A115:A119)</f>
        <v>114.4</v>
      </c>
    </row>
    <row r="120" spans="1:9" x14ac:dyDescent="0.55000000000000004">
      <c r="A120" s="29" t="s">
        <v>89</v>
      </c>
      <c r="B120" s="9">
        <v>53</v>
      </c>
      <c r="C120" s="9">
        <v>64</v>
      </c>
      <c r="D120" s="21" t="s">
        <v>37</v>
      </c>
      <c r="E120" s="9">
        <v>5</v>
      </c>
      <c r="F120" s="9" t="s">
        <v>35</v>
      </c>
      <c r="G120" s="9"/>
      <c r="H120" s="88"/>
    </row>
    <row r="121" spans="1:9" x14ac:dyDescent="0.55000000000000004">
      <c r="A121" s="29" t="s">
        <v>92</v>
      </c>
      <c r="B121" s="9">
        <v>56</v>
      </c>
      <c r="C121" s="9">
        <v>63</v>
      </c>
      <c r="D121" s="21" t="s">
        <v>37</v>
      </c>
      <c r="E121" s="9">
        <v>5</v>
      </c>
      <c r="F121" s="9" t="s">
        <v>35</v>
      </c>
      <c r="G121" s="9"/>
      <c r="H121" s="88"/>
    </row>
    <row r="122" spans="1:9" x14ac:dyDescent="0.55000000000000004">
      <c r="A122" s="29" t="s">
        <v>93</v>
      </c>
      <c r="B122" s="9">
        <v>56</v>
      </c>
      <c r="C122" s="9">
        <v>68</v>
      </c>
      <c r="D122" s="21" t="s">
        <v>37</v>
      </c>
      <c r="E122" s="9">
        <v>5</v>
      </c>
      <c r="F122" s="9" t="s">
        <v>36</v>
      </c>
      <c r="G122" s="9"/>
      <c r="H122" s="88"/>
    </row>
    <row r="123" spans="1:9" x14ac:dyDescent="0.55000000000000004">
      <c r="A123" s="29" t="s">
        <v>94</v>
      </c>
      <c r="B123" s="9">
        <v>58</v>
      </c>
      <c r="C123" s="9">
        <v>67</v>
      </c>
      <c r="D123" s="21" t="s">
        <v>37</v>
      </c>
      <c r="E123" s="9">
        <v>5</v>
      </c>
      <c r="F123" s="9" t="s">
        <v>36</v>
      </c>
      <c r="G123" s="9"/>
      <c r="H123" s="88"/>
    </row>
    <row r="124" spans="1:9" ht="14.7" thickBot="1" x14ac:dyDescent="0.6">
      <c r="A124" s="91" t="s">
        <v>95</v>
      </c>
      <c r="B124" s="14">
        <v>55</v>
      </c>
      <c r="C124" s="14">
        <v>64</v>
      </c>
      <c r="D124" s="23" t="s">
        <v>37</v>
      </c>
      <c r="E124" s="14">
        <v>5</v>
      </c>
      <c r="F124" s="14" t="s">
        <v>36</v>
      </c>
      <c r="G124" s="14">
        <v>594</v>
      </c>
      <c r="H124" s="15">
        <f>Tabla269654[[#This Row],[Total cluster weight (g)]]/COUNTA(A120:A124)</f>
        <v>118.8</v>
      </c>
    </row>
    <row r="125" spans="1:9" x14ac:dyDescent="0.55000000000000004">
      <c r="A125" s="6" t="s">
        <v>144</v>
      </c>
      <c r="B125" s="7">
        <v>47</v>
      </c>
      <c r="C125" s="7">
        <v>55</v>
      </c>
      <c r="D125" s="21" t="s">
        <v>37</v>
      </c>
      <c r="E125" s="9">
        <v>6</v>
      </c>
      <c r="F125" s="9" t="s">
        <v>68</v>
      </c>
      <c r="G125" s="9"/>
      <c r="H125" s="88"/>
    </row>
    <row r="126" spans="1:9" x14ac:dyDescent="0.55000000000000004">
      <c r="A126" s="8" t="s">
        <v>150</v>
      </c>
      <c r="B126" s="9">
        <v>50</v>
      </c>
      <c r="C126" s="9">
        <v>62</v>
      </c>
      <c r="D126" s="21" t="s">
        <v>37</v>
      </c>
      <c r="E126" s="9">
        <v>6</v>
      </c>
      <c r="F126" s="9" t="s">
        <v>35</v>
      </c>
      <c r="G126" s="9"/>
      <c r="H126" s="88"/>
    </row>
    <row r="127" spans="1:9" x14ac:dyDescent="0.55000000000000004">
      <c r="A127" s="10" t="s">
        <v>151</v>
      </c>
      <c r="B127" s="9">
        <v>51</v>
      </c>
      <c r="C127" s="9">
        <v>58</v>
      </c>
      <c r="D127" s="21" t="s">
        <v>37</v>
      </c>
      <c r="E127" s="9">
        <v>6</v>
      </c>
      <c r="F127" s="9" t="s">
        <v>35</v>
      </c>
      <c r="G127" s="9"/>
      <c r="H127" s="88"/>
    </row>
    <row r="128" spans="1:9" x14ac:dyDescent="0.55000000000000004">
      <c r="A128" s="11" t="s">
        <v>152</v>
      </c>
      <c r="B128" s="12">
        <v>52</v>
      </c>
      <c r="C128" s="12">
        <v>58</v>
      </c>
      <c r="D128" s="21" t="s">
        <v>37</v>
      </c>
      <c r="E128" s="9">
        <v>6</v>
      </c>
      <c r="F128" s="12" t="s">
        <v>36</v>
      </c>
      <c r="G128" s="9"/>
      <c r="H128" s="88"/>
    </row>
    <row r="129" spans="1:8" ht="14.7" thickBot="1" x14ac:dyDescent="0.6">
      <c r="A129" s="13" t="s">
        <v>153</v>
      </c>
      <c r="B129" s="14">
        <v>51</v>
      </c>
      <c r="C129" s="14">
        <v>58</v>
      </c>
      <c r="D129" s="23" t="s">
        <v>37</v>
      </c>
      <c r="E129" s="14">
        <v>6</v>
      </c>
      <c r="F129" s="14" t="s">
        <v>36</v>
      </c>
      <c r="G129" s="14">
        <v>466</v>
      </c>
      <c r="H129" s="15">
        <f>Tabla269654[[#This Row],[Total cluster weight (g)]]/COUNTA(A125:A129)</f>
        <v>93.2</v>
      </c>
    </row>
    <row r="130" spans="1:8" x14ac:dyDescent="0.55000000000000004">
      <c r="A130" s="29" t="s">
        <v>158</v>
      </c>
      <c r="B130" s="9">
        <v>54</v>
      </c>
      <c r="C130" s="9">
        <v>59</v>
      </c>
      <c r="D130" s="21" t="s">
        <v>37</v>
      </c>
      <c r="E130" s="9">
        <v>7</v>
      </c>
      <c r="F130" s="9" t="s">
        <v>35</v>
      </c>
      <c r="G130" s="9"/>
      <c r="H130" s="88"/>
    </row>
    <row r="131" spans="1:8" x14ac:dyDescent="0.55000000000000004">
      <c r="A131" s="29" t="s">
        <v>215</v>
      </c>
      <c r="B131" s="9">
        <v>52</v>
      </c>
      <c r="C131" s="9">
        <v>61</v>
      </c>
      <c r="D131" s="21" t="s">
        <v>37</v>
      </c>
      <c r="E131" s="9">
        <v>7</v>
      </c>
      <c r="F131" s="9" t="s">
        <v>36</v>
      </c>
      <c r="G131" s="9"/>
      <c r="H131" s="88"/>
    </row>
    <row r="132" spans="1:8" x14ac:dyDescent="0.55000000000000004">
      <c r="A132" s="29" t="s">
        <v>216</v>
      </c>
      <c r="B132" s="9">
        <v>51</v>
      </c>
      <c r="C132" s="9">
        <v>64</v>
      </c>
      <c r="D132" s="21" t="s">
        <v>37</v>
      </c>
      <c r="E132" s="9">
        <v>7</v>
      </c>
      <c r="F132" s="9" t="s">
        <v>36</v>
      </c>
      <c r="G132" s="9"/>
      <c r="H132" s="88"/>
    </row>
    <row r="133" spans="1:8" x14ac:dyDescent="0.55000000000000004">
      <c r="A133" s="29" t="s">
        <v>217</v>
      </c>
      <c r="B133" s="9">
        <v>53</v>
      </c>
      <c r="C133" s="9">
        <v>61</v>
      </c>
      <c r="D133" s="21" t="s">
        <v>37</v>
      </c>
      <c r="E133" s="9">
        <v>7</v>
      </c>
      <c r="F133" s="9" t="s">
        <v>36</v>
      </c>
      <c r="G133" s="9"/>
      <c r="H133" s="88"/>
    </row>
    <row r="134" spans="1:8" ht="14.7" thickBot="1" x14ac:dyDescent="0.6">
      <c r="A134" s="91" t="s">
        <v>218</v>
      </c>
      <c r="B134" s="14">
        <v>55</v>
      </c>
      <c r="C134" s="14">
        <v>65</v>
      </c>
      <c r="D134" s="23" t="s">
        <v>37</v>
      </c>
      <c r="E134" s="14">
        <v>7</v>
      </c>
      <c r="F134" s="14" t="s">
        <v>36</v>
      </c>
      <c r="G134" s="14">
        <v>561.5</v>
      </c>
      <c r="H134" s="15">
        <f>Tabla269654[[#This Row],[Total cluster weight (g)]]/COUNTA(A130:A134)</f>
        <v>112.3</v>
      </c>
    </row>
    <row r="135" spans="1:8" x14ac:dyDescent="0.55000000000000004">
      <c r="A135" s="29" t="s">
        <v>219</v>
      </c>
      <c r="B135" s="9">
        <v>45</v>
      </c>
      <c r="C135" s="9">
        <v>52</v>
      </c>
      <c r="D135" s="21" t="s">
        <v>37</v>
      </c>
      <c r="E135" s="9">
        <v>8</v>
      </c>
      <c r="F135" s="9" t="s">
        <v>61</v>
      </c>
      <c r="G135" s="9"/>
      <c r="H135" s="88"/>
    </row>
    <row r="136" spans="1:8" x14ac:dyDescent="0.55000000000000004">
      <c r="A136" s="29" t="s">
        <v>222</v>
      </c>
      <c r="B136" s="9">
        <v>42</v>
      </c>
      <c r="C136" s="9">
        <v>55</v>
      </c>
      <c r="D136" s="21" t="s">
        <v>37</v>
      </c>
      <c r="E136" s="9">
        <v>8</v>
      </c>
      <c r="F136" s="9" t="s">
        <v>36</v>
      </c>
      <c r="G136" s="9"/>
      <c r="H136" s="88"/>
    </row>
    <row r="137" spans="1:8" x14ac:dyDescent="0.55000000000000004">
      <c r="A137" s="29" t="s">
        <v>223</v>
      </c>
      <c r="B137" s="9">
        <v>45</v>
      </c>
      <c r="C137" s="9">
        <v>54</v>
      </c>
      <c r="D137" s="21" t="s">
        <v>37</v>
      </c>
      <c r="E137" s="9">
        <v>8</v>
      </c>
      <c r="F137" s="9" t="s">
        <v>36</v>
      </c>
      <c r="G137" s="9"/>
      <c r="H137" s="88"/>
    </row>
    <row r="138" spans="1:8" x14ac:dyDescent="0.55000000000000004">
      <c r="A138" s="29" t="s">
        <v>232</v>
      </c>
      <c r="B138" s="9">
        <v>44</v>
      </c>
      <c r="C138" s="9">
        <v>52</v>
      </c>
      <c r="D138" s="21" t="s">
        <v>37</v>
      </c>
      <c r="E138" s="9">
        <v>8</v>
      </c>
      <c r="F138" s="9" t="s">
        <v>36</v>
      </c>
      <c r="G138" s="9"/>
      <c r="H138" s="88"/>
    </row>
    <row r="139" spans="1:8" ht="14.7" thickBot="1" x14ac:dyDescent="0.6">
      <c r="A139" s="91" t="s">
        <v>233</v>
      </c>
      <c r="B139" s="14">
        <v>46</v>
      </c>
      <c r="C139" s="14">
        <v>56</v>
      </c>
      <c r="D139" s="23" t="s">
        <v>37</v>
      </c>
      <c r="E139" s="14">
        <v>8</v>
      </c>
      <c r="F139" s="14" t="s">
        <v>36</v>
      </c>
      <c r="G139" s="14">
        <v>355.5</v>
      </c>
      <c r="H139" s="102">
        <f>Tabla269654[[#This Row],[Total cluster weight (g)]]/COUNTA(A135:A139)</f>
        <v>71.099999999999994</v>
      </c>
    </row>
    <row r="140" spans="1:8" x14ac:dyDescent="0.55000000000000004">
      <c r="A140" s="29" t="s">
        <v>234</v>
      </c>
      <c r="B140" s="12">
        <v>55</v>
      </c>
      <c r="C140" s="12">
        <v>65</v>
      </c>
      <c r="D140" s="28" t="s">
        <v>37</v>
      </c>
      <c r="E140" s="12">
        <v>9</v>
      </c>
      <c r="F140" s="12" t="s">
        <v>35</v>
      </c>
      <c r="G140" s="12"/>
      <c r="H140" s="93"/>
    </row>
    <row r="141" spans="1:8" x14ac:dyDescent="0.55000000000000004">
      <c r="A141" s="29" t="s">
        <v>235</v>
      </c>
      <c r="B141" s="9">
        <v>54</v>
      </c>
      <c r="C141" s="9">
        <v>62</v>
      </c>
      <c r="D141" s="21" t="s">
        <v>37</v>
      </c>
      <c r="E141" s="9">
        <v>9</v>
      </c>
      <c r="F141" s="9" t="s">
        <v>35</v>
      </c>
      <c r="G141" s="9"/>
      <c r="H141" s="88"/>
    </row>
    <row r="142" spans="1:8" x14ac:dyDescent="0.55000000000000004">
      <c r="A142" s="29" t="s">
        <v>236</v>
      </c>
      <c r="B142" s="9">
        <v>52</v>
      </c>
      <c r="C142" s="9">
        <v>61</v>
      </c>
      <c r="D142" s="21" t="s">
        <v>37</v>
      </c>
      <c r="E142" s="9">
        <v>9</v>
      </c>
      <c r="F142" s="9" t="s">
        <v>36</v>
      </c>
      <c r="G142" s="9"/>
      <c r="H142" s="88"/>
    </row>
    <row r="143" spans="1:8" x14ac:dyDescent="0.55000000000000004">
      <c r="A143" s="29" t="s">
        <v>248</v>
      </c>
      <c r="B143" s="9">
        <v>52</v>
      </c>
      <c r="C143" s="9">
        <v>60</v>
      </c>
      <c r="D143" s="21" t="s">
        <v>37</v>
      </c>
      <c r="E143" s="9">
        <v>9</v>
      </c>
      <c r="F143" s="9" t="s">
        <v>36</v>
      </c>
      <c r="G143" s="9"/>
      <c r="H143" s="88"/>
    </row>
    <row r="144" spans="1:8" ht="14.7" thickBot="1" x14ac:dyDescent="0.6">
      <c r="A144" s="91" t="s">
        <v>249</v>
      </c>
      <c r="B144" s="14">
        <v>52</v>
      </c>
      <c r="C144" s="14">
        <v>62</v>
      </c>
      <c r="D144" s="23" t="s">
        <v>37</v>
      </c>
      <c r="E144" s="14">
        <v>9</v>
      </c>
      <c r="F144" s="14" t="s">
        <v>36</v>
      </c>
      <c r="G144" s="14">
        <v>557</v>
      </c>
      <c r="H144" s="102">
        <f>Tabla269654[[#This Row],[Total cluster weight (g)]]/COUNTA(A140:A144)</f>
        <v>111.4</v>
      </c>
    </row>
    <row r="145" spans="1:9" x14ac:dyDescent="0.55000000000000004">
      <c r="A145" s="11" t="s">
        <v>264</v>
      </c>
      <c r="B145" s="12">
        <v>50</v>
      </c>
      <c r="C145" s="12">
        <v>60</v>
      </c>
      <c r="D145" s="28" t="s">
        <v>37</v>
      </c>
      <c r="E145" s="12">
        <v>10</v>
      </c>
      <c r="F145" s="12" t="s">
        <v>68</v>
      </c>
      <c r="G145" s="12"/>
      <c r="H145" s="93"/>
      <c r="I145" t="s">
        <v>56</v>
      </c>
    </row>
    <row r="146" spans="1:9" x14ac:dyDescent="0.55000000000000004">
      <c r="A146" s="8" t="s">
        <v>265</v>
      </c>
      <c r="B146" s="9">
        <v>53</v>
      </c>
      <c r="C146" s="9">
        <v>63</v>
      </c>
      <c r="D146" s="21" t="s">
        <v>37</v>
      </c>
      <c r="E146" s="9">
        <v>10</v>
      </c>
      <c r="F146" s="9" t="s">
        <v>35</v>
      </c>
      <c r="G146" s="9"/>
      <c r="H146" s="88"/>
    </row>
    <row r="147" spans="1:9" x14ac:dyDescent="0.55000000000000004">
      <c r="A147" s="10" t="s">
        <v>266</v>
      </c>
      <c r="B147" s="9">
        <v>55</v>
      </c>
      <c r="C147" s="9">
        <v>63</v>
      </c>
      <c r="D147" s="21" t="s">
        <v>37</v>
      </c>
      <c r="E147" s="9">
        <v>10</v>
      </c>
      <c r="F147" s="9" t="s">
        <v>36</v>
      </c>
      <c r="G147" s="9"/>
      <c r="H147" s="88"/>
    </row>
    <row r="148" spans="1:9" x14ac:dyDescent="0.55000000000000004">
      <c r="A148" s="11" t="s">
        <v>260</v>
      </c>
      <c r="B148" s="9">
        <v>56</v>
      </c>
      <c r="C148" s="9">
        <v>69</v>
      </c>
      <c r="D148" s="21" t="s">
        <v>37</v>
      </c>
      <c r="E148" s="9">
        <v>10</v>
      </c>
      <c r="F148" s="9" t="s">
        <v>36</v>
      </c>
      <c r="G148" s="9"/>
      <c r="H148" s="88"/>
    </row>
    <row r="149" spans="1:9" ht="14.7" thickBot="1" x14ac:dyDescent="0.6">
      <c r="A149" s="13" t="s">
        <v>267</v>
      </c>
      <c r="B149" s="14">
        <v>55</v>
      </c>
      <c r="C149" s="14">
        <v>67</v>
      </c>
      <c r="D149" s="23" t="s">
        <v>37</v>
      </c>
      <c r="E149" s="14">
        <v>10</v>
      </c>
      <c r="F149" s="14" t="s">
        <v>36</v>
      </c>
      <c r="G149" s="14">
        <v>618</v>
      </c>
      <c r="H149" s="102">
        <f>Tabla269654[[#This Row],[Total cluster weight (g)]]/COUNTA(A145:A149)</f>
        <v>123.6</v>
      </c>
    </row>
    <row r="150" spans="1:9" x14ac:dyDescent="0.55000000000000004">
      <c r="A150" s="29"/>
      <c r="B150" s="30"/>
      <c r="C150" s="30"/>
      <c r="D150" s="31"/>
      <c r="E150" s="30"/>
      <c r="F150" s="30"/>
      <c r="G150" s="30"/>
    </row>
    <row r="151" spans="1:9" x14ac:dyDescent="0.55000000000000004">
      <c r="A151" s="59" t="s">
        <v>187</v>
      </c>
      <c r="B151" s="55" t="s">
        <v>162</v>
      </c>
      <c r="C151" s="55" t="s">
        <v>163</v>
      </c>
      <c r="D151" s="55" t="s">
        <v>164</v>
      </c>
      <c r="E151" s="55" t="s">
        <v>165</v>
      </c>
      <c r="F151" s="56" t="s">
        <v>189</v>
      </c>
      <c r="G151" s="111" t="s">
        <v>230</v>
      </c>
    </row>
    <row r="152" spans="1:9" x14ac:dyDescent="0.55000000000000004">
      <c r="A152" s="60" t="s">
        <v>166</v>
      </c>
      <c r="B152" s="57">
        <f>AVERAGE(Tabla269654[Height (mm)])</f>
        <v>51.18</v>
      </c>
      <c r="C152" s="57">
        <f>AVERAGE(Tabla269654[Width (mm)])</f>
        <v>61.7</v>
      </c>
      <c r="D152" s="57">
        <f>MAX(Tabla269654[[Cluster number ]])</f>
        <v>10</v>
      </c>
      <c r="E152" s="57">
        <f>AVERAGE(Tabla269654[Tomato average weight per cluster])</f>
        <v>105.61999999999998</v>
      </c>
      <c r="F152" s="58">
        <f>COUNTA(Tabla269654["C3" PLANT])</f>
        <v>50</v>
      </c>
      <c r="G152" s="109">
        <f>SUM(Tabla269654[Total cluster weight (g)])</f>
        <v>5281</v>
      </c>
    </row>
    <row r="154" spans="1:9" ht="14.7" thickBot="1" x14ac:dyDescent="0.6">
      <c r="A154" s="5" t="s">
        <v>16</v>
      </c>
      <c r="B154" t="s">
        <v>3</v>
      </c>
      <c r="C154" t="s">
        <v>4</v>
      </c>
      <c r="D154" t="s">
        <v>5</v>
      </c>
      <c r="E154" t="s">
        <v>6</v>
      </c>
      <c r="F154" t="s">
        <v>7</v>
      </c>
      <c r="G154" t="s">
        <v>8</v>
      </c>
      <c r="H154" t="s">
        <v>161</v>
      </c>
    </row>
    <row r="155" spans="1:9" x14ac:dyDescent="0.55000000000000004">
      <c r="A155" s="6" t="s">
        <v>9</v>
      </c>
      <c r="B155" s="9">
        <v>45</v>
      </c>
      <c r="C155" s="9">
        <v>62</v>
      </c>
      <c r="D155" s="9">
        <v>95</v>
      </c>
      <c r="E155" s="9">
        <v>1</v>
      </c>
      <c r="F155" s="9" t="s">
        <v>36</v>
      </c>
      <c r="G155" s="66"/>
      <c r="H155" s="12"/>
    </row>
    <row r="156" spans="1:9" x14ac:dyDescent="0.55000000000000004">
      <c r="A156" s="8" t="s">
        <v>10</v>
      </c>
      <c r="B156" s="9">
        <v>48</v>
      </c>
      <c r="C156" s="9">
        <v>61</v>
      </c>
      <c r="D156" s="9">
        <v>101</v>
      </c>
      <c r="E156" s="9">
        <v>1</v>
      </c>
      <c r="F156" s="9" t="s">
        <v>36</v>
      </c>
      <c r="G156" s="79"/>
      <c r="H156" s="9"/>
    </row>
    <row r="157" spans="1:9" ht="14.7" thickBot="1" x14ac:dyDescent="0.6">
      <c r="A157" s="35" t="s">
        <v>11</v>
      </c>
      <c r="B157" s="14">
        <v>46</v>
      </c>
      <c r="C157" s="14">
        <v>59</v>
      </c>
      <c r="D157" s="14">
        <v>88.5</v>
      </c>
      <c r="E157" s="14">
        <v>1</v>
      </c>
      <c r="F157" s="14" t="s">
        <v>35</v>
      </c>
      <c r="G157" s="19">
        <v>288</v>
      </c>
      <c r="H157" s="14">
        <f>Tabla269755[[#This Row],[Total cluster weight (g)]]/COUNTA(A155:A157)</f>
        <v>96</v>
      </c>
    </row>
    <row r="158" spans="1:9" x14ac:dyDescent="0.55000000000000004">
      <c r="A158" s="40" t="s">
        <v>12</v>
      </c>
      <c r="B158" s="41">
        <v>46</v>
      </c>
      <c r="C158" s="41">
        <v>56</v>
      </c>
      <c r="D158" s="42" t="s">
        <v>37</v>
      </c>
      <c r="E158" s="41">
        <v>2</v>
      </c>
      <c r="F158" s="41" t="s">
        <v>35</v>
      </c>
      <c r="G158" s="41"/>
      <c r="H158" s="12"/>
    </row>
    <row r="159" spans="1:9" x14ac:dyDescent="0.55000000000000004">
      <c r="A159" s="10" t="s">
        <v>13</v>
      </c>
      <c r="B159" s="9">
        <v>44</v>
      </c>
      <c r="C159" s="9">
        <v>54</v>
      </c>
      <c r="D159" s="21" t="s">
        <v>37</v>
      </c>
      <c r="E159" s="9">
        <v>2</v>
      </c>
      <c r="F159" s="9" t="s">
        <v>36</v>
      </c>
      <c r="G159" s="9"/>
      <c r="H159" s="20"/>
    </row>
    <row r="160" spans="1:9" x14ac:dyDescent="0.55000000000000004">
      <c r="A160" s="10" t="s">
        <v>41</v>
      </c>
      <c r="B160" s="9">
        <v>45</v>
      </c>
      <c r="C160" s="9">
        <v>57</v>
      </c>
      <c r="D160" s="21" t="s">
        <v>37</v>
      </c>
      <c r="E160" s="9">
        <v>2</v>
      </c>
      <c r="F160" s="9" t="s">
        <v>36</v>
      </c>
      <c r="G160" s="9"/>
      <c r="H160" s="9"/>
    </row>
    <row r="161" spans="1:9" x14ac:dyDescent="0.55000000000000004">
      <c r="A161" s="10" t="s">
        <v>42</v>
      </c>
      <c r="B161" s="9">
        <v>48</v>
      </c>
      <c r="C161" s="9">
        <v>57</v>
      </c>
      <c r="D161" s="21" t="s">
        <v>37</v>
      </c>
      <c r="E161" s="9">
        <v>2</v>
      </c>
      <c r="F161" s="9" t="s">
        <v>36</v>
      </c>
      <c r="G161" s="9"/>
      <c r="H161" s="5"/>
    </row>
    <row r="162" spans="1:9" ht="14.7" thickBot="1" x14ac:dyDescent="0.6">
      <c r="A162" s="39" t="s">
        <v>43</v>
      </c>
      <c r="B162" s="22">
        <v>51</v>
      </c>
      <c r="C162" s="22">
        <v>64</v>
      </c>
      <c r="D162" s="23" t="s">
        <v>37</v>
      </c>
      <c r="E162" s="14">
        <v>2</v>
      </c>
      <c r="F162" s="14" t="s">
        <v>36</v>
      </c>
      <c r="G162" s="14">
        <v>429.5</v>
      </c>
      <c r="H162" s="14">
        <f>Tabla269755[[#This Row],[Total cluster weight (g)]]/COUNTA(A158:A162)</f>
        <v>85.9</v>
      </c>
    </row>
    <row r="163" spans="1:9" x14ac:dyDescent="0.55000000000000004">
      <c r="A163" s="6" t="s">
        <v>47</v>
      </c>
      <c r="B163" s="7">
        <v>46</v>
      </c>
      <c r="C163" s="7">
        <v>57</v>
      </c>
      <c r="D163" s="21" t="s">
        <v>37</v>
      </c>
      <c r="E163" s="9">
        <v>3</v>
      </c>
      <c r="F163" s="9" t="s">
        <v>35</v>
      </c>
      <c r="G163" s="9"/>
      <c r="H163" s="5"/>
    </row>
    <row r="164" spans="1:9" x14ac:dyDescent="0.55000000000000004">
      <c r="A164" s="8" t="s">
        <v>48</v>
      </c>
      <c r="B164" s="9">
        <v>49</v>
      </c>
      <c r="C164" s="9">
        <v>59</v>
      </c>
      <c r="D164" s="21" t="s">
        <v>37</v>
      </c>
      <c r="E164" s="9">
        <v>3</v>
      </c>
      <c r="F164" s="9" t="s">
        <v>35</v>
      </c>
      <c r="G164" s="9"/>
      <c r="H164" s="5"/>
    </row>
    <row r="165" spans="1:9" x14ac:dyDescent="0.55000000000000004">
      <c r="A165" s="10" t="s">
        <v>49</v>
      </c>
      <c r="B165" s="9">
        <v>48</v>
      </c>
      <c r="C165" s="9">
        <v>60</v>
      </c>
      <c r="D165" s="21" t="s">
        <v>37</v>
      </c>
      <c r="E165" s="9">
        <v>3</v>
      </c>
      <c r="F165" s="9" t="s">
        <v>36</v>
      </c>
      <c r="G165" s="9"/>
      <c r="H165" s="5"/>
    </row>
    <row r="166" spans="1:9" x14ac:dyDescent="0.55000000000000004">
      <c r="A166" s="8" t="s">
        <v>50</v>
      </c>
      <c r="B166" s="9">
        <v>49</v>
      </c>
      <c r="C166" s="9">
        <v>59</v>
      </c>
      <c r="D166" s="21" t="s">
        <v>37</v>
      </c>
      <c r="E166" s="9">
        <v>3</v>
      </c>
      <c r="F166" s="9" t="s">
        <v>36</v>
      </c>
      <c r="G166" s="9"/>
      <c r="H166" s="5"/>
    </row>
    <row r="167" spans="1:9" ht="14.7" thickBot="1" x14ac:dyDescent="0.6">
      <c r="A167" s="13" t="s">
        <v>51</v>
      </c>
      <c r="B167" s="14">
        <v>50</v>
      </c>
      <c r="C167" s="14">
        <v>64</v>
      </c>
      <c r="D167" s="23" t="s">
        <v>37</v>
      </c>
      <c r="E167" s="14">
        <v>3</v>
      </c>
      <c r="F167" s="14" t="s">
        <v>36</v>
      </c>
      <c r="G167" s="14">
        <v>468</v>
      </c>
      <c r="H167" s="14">
        <f>Tabla269755[[#This Row],[Total cluster weight (g)]]/COUNTA(A163:A167)</f>
        <v>93.6</v>
      </c>
    </row>
    <row r="168" spans="1:9" x14ac:dyDescent="0.55000000000000004">
      <c r="A168" s="6" t="s">
        <v>87</v>
      </c>
      <c r="B168" s="7">
        <v>49</v>
      </c>
      <c r="C168" s="7">
        <v>60</v>
      </c>
      <c r="D168" s="21" t="s">
        <v>37</v>
      </c>
      <c r="E168" s="9">
        <v>4</v>
      </c>
      <c r="F168" s="9" t="s">
        <v>68</v>
      </c>
      <c r="G168" s="9"/>
      <c r="H168" s="5"/>
      <c r="I168" t="s">
        <v>56</v>
      </c>
    </row>
    <row r="169" spans="1:9" x14ac:dyDescent="0.55000000000000004">
      <c r="A169" s="8" t="s">
        <v>88</v>
      </c>
      <c r="B169" s="9">
        <v>50</v>
      </c>
      <c r="C169" s="9">
        <v>62</v>
      </c>
      <c r="D169" s="21" t="s">
        <v>37</v>
      </c>
      <c r="E169" s="9">
        <v>4</v>
      </c>
      <c r="F169" s="9" t="s">
        <v>36</v>
      </c>
      <c r="G169" s="9"/>
      <c r="H169" s="5"/>
    </row>
    <row r="170" spans="1:9" x14ac:dyDescent="0.55000000000000004">
      <c r="A170" s="10" t="s">
        <v>73</v>
      </c>
      <c r="B170" s="9">
        <v>47</v>
      </c>
      <c r="C170" s="9">
        <v>60</v>
      </c>
      <c r="D170" s="21" t="s">
        <v>37</v>
      </c>
      <c r="E170" s="9">
        <v>4</v>
      </c>
      <c r="F170" s="9" t="s">
        <v>36</v>
      </c>
      <c r="G170" s="9"/>
      <c r="H170" s="5"/>
    </row>
    <row r="171" spans="1:9" x14ac:dyDescent="0.55000000000000004">
      <c r="A171" s="11" t="s">
        <v>81</v>
      </c>
      <c r="B171" s="12">
        <v>49</v>
      </c>
      <c r="C171" s="12">
        <v>63</v>
      </c>
      <c r="D171" s="21" t="s">
        <v>37</v>
      </c>
      <c r="E171" s="9">
        <v>4</v>
      </c>
      <c r="F171" s="9" t="s">
        <v>36</v>
      </c>
      <c r="G171" s="9"/>
      <c r="H171" s="5"/>
    </row>
    <row r="172" spans="1:9" ht="14.7" thickBot="1" x14ac:dyDescent="0.6">
      <c r="A172" s="13" t="s">
        <v>66</v>
      </c>
      <c r="B172" s="14">
        <v>50</v>
      </c>
      <c r="C172" s="14">
        <v>61</v>
      </c>
      <c r="D172" s="23" t="s">
        <v>37</v>
      </c>
      <c r="E172" s="14">
        <v>4</v>
      </c>
      <c r="F172" s="14" t="s">
        <v>36</v>
      </c>
      <c r="G172" s="14">
        <v>494</v>
      </c>
      <c r="H172" s="14">
        <f>Tabla269755[[#This Row],[Total cluster weight (g)]]/COUNTA(A168:A172)</f>
        <v>98.8</v>
      </c>
    </row>
    <row r="173" spans="1:9" x14ac:dyDescent="0.55000000000000004">
      <c r="A173" s="34" t="s">
        <v>67</v>
      </c>
      <c r="B173" s="12">
        <v>44</v>
      </c>
      <c r="C173" s="12">
        <v>54</v>
      </c>
      <c r="D173" s="28" t="s">
        <v>37</v>
      </c>
      <c r="E173" s="12">
        <v>5</v>
      </c>
      <c r="F173" s="12" t="s">
        <v>68</v>
      </c>
      <c r="G173" s="12"/>
      <c r="H173" s="93"/>
    </row>
    <row r="174" spans="1:9" x14ac:dyDescent="0.55000000000000004">
      <c r="A174" s="10" t="s">
        <v>71</v>
      </c>
      <c r="B174" s="9">
        <v>48</v>
      </c>
      <c r="C174" s="9">
        <v>56</v>
      </c>
      <c r="D174" s="21">
        <v>81</v>
      </c>
      <c r="E174" s="9">
        <v>5</v>
      </c>
      <c r="F174" s="9" t="s">
        <v>35</v>
      </c>
      <c r="G174" s="9"/>
      <c r="H174" s="88"/>
    </row>
    <row r="175" spans="1:9" x14ac:dyDescent="0.55000000000000004">
      <c r="A175" s="10" t="s">
        <v>89</v>
      </c>
      <c r="B175" s="9">
        <v>49</v>
      </c>
      <c r="C175" s="9">
        <v>58</v>
      </c>
      <c r="D175" s="21" t="s">
        <v>37</v>
      </c>
      <c r="E175" s="9">
        <v>5</v>
      </c>
      <c r="F175" s="9" t="s">
        <v>36</v>
      </c>
      <c r="G175" s="9"/>
      <c r="H175" s="88"/>
    </row>
    <row r="176" spans="1:9" x14ac:dyDescent="0.55000000000000004">
      <c r="A176" s="10" t="s">
        <v>92</v>
      </c>
      <c r="B176" s="9">
        <v>49</v>
      </c>
      <c r="C176" s="9">
        <v>56</v>
      </c>
      <c r="D176" s="21" t="s">
        <v>37</v>
      </c>
      <c r="E176" s="9">
        <v>5</v>
      </c>
      <c r="F176" s="9" t="s">
        <v>36</v>
      </c>
      <c r="G176" s="9"/>
      <c r="H176" s="88"/>
    </row>
    <row r="177" spans="1:8" ht="14.7" thickBot="1" x14ac:dyDescent="0.6">
      <c r="A177" s="35" t="s">
        <v>93</v>
      </c>
      <c r="B177" s="14">
        <v>49</v>
      </c>
      <c r="C177" s="14">
        <v>59</v>
      </c>
      <c r="D177" s="23" t="s">
        <v>37</v>
      </c>
      <c r="E177" s="14">
        <v>5</v>
      </c>
      <c r="F177" s="14" t="s">
        <v>36</v>
      </c>
      <c r="G177" s="14">
        <v>404</v>
      </c>
      <c r="H177" s="14">
        <f>Tabla269755[[#This Row],[Total cluster weight (g)]]/COUNTA(A173:A177)</f>
        <v>80.8</v>
      </c>
    </row>
    <row r="178" spans="1:8" x14ac:dyDescent="0.55000000000000004">
      <c r="A178" s="6" t="s">
        <v>94</v>
      </c>
      <c r="B178" s="7">
        <v>48</v>
      </c>
      <c r="C178" s="7">
        <v>56</v>
      </c>
      <c r="D178" s="21" t="s">
        <v>37</v>
      </c>
      <c r="E178" s="9">
        <v>6</v>
      </c>
      <c r="F178" s="9" t="s">
        <v>35</v>
      </c>
      <c r="G178" s="9"/>
      <c r="H178" s="92"/>
    </row>
    <row r="179" spans="1:8" x14ac:dyDescent="0.55000000000000004">
      <c r="A179" s="8" t="s">
        <v>95</v>
      </c>
      <c r="B179" s="9">
        <v>52</v>
      </c>
      <c r="C179" s="9">
        <v>61</v>
      </c>
      <c r="D179" s="21" t="s">
        <v>37</v>
      </c>
      <c r="E179" s="9">
        <v>6</v>
      </c>
      <c r="F179" s="9" t="s">
        <v>35</v>
      </c>
      <c r="G179" s="9"/>
      <c r="H179" s="92"/>
    </row>
    <row r="180" spans="1:8" x14ac:dyDescent="0.55000000000000004">
      <c r="A180" s="10" t="s">
        <v>144</v>
      </c>
      <c r="B180" s="9">
        <v>52</v>
      </c>
      <c r="C180" s="9">
        <v>57</v>
      </c>
      <c r="D180" s="21" t="s">
        <v>37</v>
      </c>
      <c r="E180" s="9">
        <v>6</v>
      </c>
      <c r="F180" s="9" t="s">
        <v>36</v>
      </c>
      <c r="G180" s="9"/>
      <c r="H180" s="92"/>
    </row>
    <row r="181" spans="1:8" x14ac:dyDescent="0.55000000000000004">
      <c r="A181" s="11" t="s">
        <v>150</v>
      </c>
      <c r="B181" s="12">
        <v>51</v>
      </c>
      <c r="C181" s="12">
        <v>60</v>
      </c>
      <c r="D181" s="21" t="s">
        <v>37</v>
      </c>
      <c r="E181" s="9">
        <v>6</v>
      </c>
      <c r="F181" s="9" t="s">
        <v>36</v>
      </c>
      <c r="G181" s="9"/>
      <c r="H181" s="92"/>
    </row>
    <row r="182" spans="1:8" ht="14.7" thickBot="1" x14ac:dyDescent="0.6">
      <c r="A182" s="13" t="s">
        <v>151</v>
      </c>
      <c r="B182" s="14">
        <v>52</v>
      </c>
      <c r="C182" s="14">
        <v>59</v>
      </c>
      <c r="D182" s="23" t="s">
        <v>37</v>
      </c>
      <c r="E182" s="14">
        <v>6</v>
      </c>
      <c r="F182" s="14" t="s">
        <v>36</v>
      </c>
      <c r="G182" s="14">
        <v>479</v>
      </c>
      <c r="H182" s="14">
        <f>Tabla269755[[#This Row],[Total cluster weight (g)]]/COUNTA(A178:A182)</f>
        <v>95.8</v>
      </c>
    </row>
    <row r="183" spans="1:8" x14ac:dyDescent="0.55000000000000004">
      <c r="A183" s="34" t="s">
        <v>152</v>
      </c>
      <c r="B183" s="12">
        <v>48</v>
      </c>
      <c r="C183" s="12">
        <v>59</v>
      </c>
      <c r="D183" s="28" t="s">
        <v>37</v>
      </c>
      <c r="E183" s="12">
        <v>7</v>
      </c>
      <c r="F183" s="12" t="s">
        <v>36</v>
      </c>
      <c r="G183" s="12"/>
      <c r="H183" s="93"/>
    </row>
    <row r="184" spans="1:8" x14ac:dyDescent="0.55000000000000004">
      <c r="A184" s="10" t="s">
        <v>153</v>
      </c>
      <c r="B184" s="9">
        <v>48</v>
      </c>
      <c r="C184" s="9">
        <v>60</v>
      </c>
      <c r="D184" s="21" t="s">
        <v>37</v>
      </c>
      <c r="E184" s="9">
        <v>7</v>
      </c>
      <c r="F184" s="9" t="s">
        <v>36</v>
      </c>
      <c r="G184" s="9"/>
      <c r="H184" s="88"/>
    </row>
    <row r="185" spans="1:8" x14ac:dyDescent="0.55000000000000004">
      <c r="A185" s="10" t="s">
        <v>158</v>
      </c>
      <c r="B185" s="9">
        <v>50</v>
      </c>
      <c r="C185" s="9">
        <v>63</v>
      </c>
      <c r="D185" s="21" t="s">
        <v>37</v>
      </c>
      <c r="E185" s="9">
        <v>7</v>
      </c>
      <c r="F185" s="9" t="s">
        <v>36</v>
      </c>
      <c r="G185" s="9"/>
      <c r="H185" s="88"/>
    </row>
    <row r="186" spans="1:8" x14ac:dyDescent="0.55000000000000004">
      <c r="A186" s="10" t="s">
        <v>215</v>
      </c>
      <c r="B186" s="9">
        <v>52</v>
      </c>
      <c r="C186" s="9">
        <v>61</v>
      </c>
      <c r="D186" s="21" t="s">
        <v>37</v>
      </c>
      <c r="E186" s="9">
        <v>7</v>
      </c>
      <c r="F186" s="9" t="s">
        <v>36</v>
      </c>
      <c r="G186" s="9"/>
      <c r="H186" s="88"/>
    </row>
    <row r="187" spans="1:8" ht="14.7" thickBot="1" x14ac:dyDescent="0.6">
      <c r="A187" s="35" t="s">
        <v>216</v>
      </c>
      <c r="B187" s="14">
        <v>53</v>
      </c>
      <c r="C187" s="14">
        <v>63</v>
      </c>
      <c r="D187" s="23" t="s">
        <v>37</v>
      </c>
      <c r="E187" s="14">
        <v>7</v>
      </c>
      <c r="F187" s="14" t="s">
        <v>36</v>
      </c>
      <c r="G187" s="14">
        <v>504.5</v>
      </c>
      <c r="H187" s="102">
        <f>Tabla269755[[#This Row],[Total cluster weight (g)]]/COUNTA(A183:A187)</f>
        <v>100.9</v>
      </c>
    </row>
    <row r="188" spans="1:8" x14ac:dyDescent="0.55000000000000004">
      <c r="A188" s="34" t="s">
        <v>217</v>
      </c>
      <c r="B188" s="12">
        <v>54</v>
      </c>
      <c r="C188" s="12">
        <v>63</v>
      </c>
      <c r="D188" s="28" t="s">
        <v>37</v>
      </c>
      <c r="E188" s="12">
        <v>8</v>
      </c>
      <c r="F188" s="12" t="s">
        <v>36</v>
      </c>
      <c r="G188" s="12"/>
      <c r="H188" s="93"/>
    </row>
    <row r="189" spans="1:8" x14ac:dyDescent="0.55000000000000004">
      <c r="A189" s="10" t="s">
        <v>218</v>
      </c>
      <c r="B189" s="9">
        <v>53</v>
      </c>
      <c r="C189" s="9">
        <v>66</v>
      </c>
      <c r="D189" s="21" t="s">
        <v>37</v>
      </c>
      <c r="E189" s="9">
        <v>8</v>
      </c>
      <c r="F189" s="9" t="s">
        <v>36</v>
      </c>
      <c r="G189" s="9"/>
      <c r="H189" s="88"/>
    </row>
    <row r="190" spans="1:8" x14ac:dyDescent="0.55000000000000004">
      <c r="A190" s="10" t="s">
        <v>219</v>
      </c>
      <c r="B190" s="9">
        <v>53</v>
      </c>
      <c r="C190" s="9">
        <v>63</v>
      </c>
      <c r="D190" s="21" t="s">
        <v>37</v>
      </c>
      <c r="E190" s="9">
        <v>8</v>
      </c>
      <c r="F190" s="9" t="s">
        <v>36</v>
      </c>
      <c r="G190" s="9"/>
      <c r="H190" s="88"/>
    </row>
    <row r="191" spans="1:8" x14ac:dyDescent="0.55000000000000004">
      <c r="A191" s="10" t="s">
        <v>222</v>
      </c>
      <c r="B191" s="9">
        <v>54</v>
      </c>
      <c r="C191" s="9">
        <v>63</v>
      </c>
      <c r="D191" s="21" t="s">
        <v>37</v>
      </c>
      <c r="E191" s="9">
        <v>8</v>
      </c>
      <c r="F191" s="9" t="s">
        <v>36</v>
      </c>
      <c r="G191" s="9"/>
      <c r="H191" s="88"/>
    </row>
    <row r="192" spans="1:8" ht="14.7" thickBot="1" x14ac:dyDescent="0.6">
      <c r="A192" s="35" t="s">
        <v>223</v>
      </c>
      <c r="B192" s="14">
        <v>53</v>
      </c>
      <c r="C192" s="14">
        <v>61</v>
      </c>
      <c r="D192" s="23" t="s">
        <v>37</v>
      </c>
      <c r="E192" s="14">
        <v>8</v>
      </c>
      <c r="F192" s="14" t="s">
        <v>36</v>
      </c>
      <c r="G192" s="14">
        <v>584</v>
      </c>
      <c r="H192" s="102">
        <f>Tabla269755[[#This Row],[Total cluster weight (g)]]/COUNTA(A188:A192)</f>
        <v>116.8</v>
      </c>
    </row>
    <row r="193" spans="1:8" x14ac:dyDescent="0.55000000000000004">
      <c r="A193" s="37" t="s">
        <v>232</v>
      </c>
      <c r="B193" s="38">
        <v>52</v>
      </c>
      <c r="C193" s="38">
        <v>62</v>
      </c>
      <c r="D193" s="20" t="s">
        <v>37</v>
      </c>
      <c r="E193" s="20">
        <v>9</v>
      </c>
      <c r="F193" s="20" t="s">
        <v>36</v>
      </c>
      <c r="G193" s="20"/>
      <c r="H193" s="92"/>
    </row>
    <row r="194" spans="1:8" x14ac:dyDescent="0.55000000000000004">
      <c r="A194" s="10" t="s">
        <v>233</v>
      </c>
      <c r="B194" s="9">
        <v>54</v>
      </c>
      <c r="C194" s="9">
        <v>66</v>
      </c>
      <c r="D194" s="9" t="s">
        <v>37</v>
      </c>
      <c r="E194" s="9">
        <v>9</v>
      </c>
      <c r="F194" s="9" t="s">
        <v>36</v>
      </c>
      <c r="G194" s="9"/>
      <c r="H194" s="92"/>
    </row>
    <row r="195" spans="1:8" x14ac:dyDescent="0.55000000000000004">
      <c r="A195" s="10" t="s">
        <v>234</v>
      </c>
      <c r="B195" s="9">
        <v>54</v>
      </c>
      <c r="C195" s="9">
        <v>65</v>
      </c>
      <c r="D195" s="9" t="s">
        <v>37</v>
      </c>
      <c r="E195" s="9">
        <v>9</v>
      </c>
      <c r="F195" s="9" t="s">
        <v>36</v>
      </c>
      <c r="G195" s="9"/>
      <c r="H195" s="92"/>
    </row>
    <row r="196" spans="1:8" x14ac:dyDescent="0.55000000000000004">
      <c r="A196" s="10" t="s">
        <v>235</v>
      </c>
      <c r="B196" s="9">
        <v>56</v>
      </c>
      <c r="C196" s="9">
        <v>65</v>
      </c>
      <c r="D196" s="9" t="s">
        <v>37</v>
      </c>
      <c r="E196" s="9">
        <v>9</v>
      </c>
      <c r="F196" s="9" t="s">
        <v>36</v>
      </c>
      <c r="G196" s="9"/>
      <c r="H196" s="92"/>
    </row>
    <row r="197" spans="1:8" ht="14.7" thickBot="1" x14ac:dyDescent="0.6">
      <c r="A197" s="48" t="s">
        <v>236</v>
      </c>
      <c r="B197" s="22">
        <v>55</v>
      </c>
      <c r="C197" s="22">
        <v>64</v>
      </c>
      <c r="D197" s="22" t="s">
        <v>37</v>
      </c>
      <c r="E197" s="22">
        <v>9</v>
      </c>
      <c r="F197" s="22" t="s">
        <v>36</v>
      </c>
      <c r="G197" s="22">
        <v>624</v>
      </c>
      <c r="H197" s="112">
        <f>Tabla269755[[#This Row],[Total cluster weight (g)]]/COUNTA(A193:A197)</f>
        <v>124.8</v>
      </c>
    </row>
    <row r="198" spans="1:8" x14ac:dyDescent="0.55000000000000004">
      <c r="A198" s="29"/>
      <c r="B198" s="30"/>
      <c r="C198" s="4"/>
      <c r="D198" s="31"/>
      <c r="E198" s="4"/>
      <c r="F198" s="4"/>
      <c r="G198" s="4"/>
    </row>
    <row r="199" spans="1:8" x14ac:dyDescent="0.55000000000000004">
      <c r="A199" s="59" t="s">
        <v>186</v>
      </c>
      <c r="B199" s="55" t="s">
        <v>162</v>
      </c>
      <c r="C199" s="55" t="s">
        <v>163</v>
      </c>
      <c r="D199" s="55" t="s">
        <v>164</v>
      </c>
      <c r="E199" s="55" t="s">
        <v>165</v>
      </c>
      <c r="F199" s="56" t="s">
        <v>189</v>
      </c>
      <c r="G199" s="110" t="s">
        <v>230</v>
      </c>
    </row>
    <row r="200" spans="1:8" x14ac:dyDescent="0.55000000000000004">
      <c r="A200" s="60" t="s">
        <v>166</v>
      </c>
      <c r="B200" s="57">
        <f>AVERAGE(Tabla269755[Height (mm)])</f>
        <v>49.837209302325583</v>
      </c>
      <c r="C200" s="57">
        <f>AVERAGE(Tabla269755[Width (mm)])</f>
        <v>60.348837209302324</v>
      </c>
      <c r="D200" s="57">
        <f>MAX(Tabla269755[[Cluster number ]])</f>
        <v>9</v>
      </c>
      <c r="E200" s="57">
        <f>AVERAGE(Tabla269755[Tomato average weight per cluster])</f>
        <v>99.266666666666652</v>
      </c>
      <c r="F200" s="58">
        <f>COUNTA(Tabla269755["C4" PLANT])</f>
        <v>43</v>
      </c>
      <c r="G200" s="109">
        <f>SUM(Tabla269755[Total cluster weight (g)])</f>
        <v>4275</v>
      </c>
    </row>
    <row r="202" spans="1:8" ht="14.7" thickBot="1" x14ac:dyDescent="0.6">
      <c r="A202" s="5" t="s">
        <v>17</v>
      </c>
      <c r="B202" t="s">
        <v>3</v>
      </c>
      <c r="C202" t="s">
        <v>4</v>
      </c>
      <c r="D202" t="s">
        <v>5</v>
      </c>
      <c r="E202" t="s">
        <v>6</v>
      </c>
      <c r="F202" t="s">
        <v>7</v>
      </c>
      <c r="G202" t="s">
        <v>8</v>
      </c>
      <c r="H202" t="s">
        <v>161</v>
      </c>
    </row>
    <row r="203" spans="1:8" x14ac:dyDescent="0.55000000000000004">
      <c r="A203" s="6" t="s">
        <v>9</v>
      </c>
      <c r="B203" s="9">
        <v>53</v>
      </c>
      <c r="C203" s="9">
        <v>64</v>
      </c>
      <c r="D203" s="21" t="s">
        <v>37</v>
      </c>
      <c r="E203" s="9">
        <v>1</v>
      </c>
      <c r="F203" s="9" t="s">
        <v>36</v>
      </c>
      <c r="G203" s="9"/>
      <c r="H203" s="12"/>
    </row>
    <row r="204" spans="1:8" x14ac:dyDescent="0.55000000000000004">
      <c r="A204" s="8" t="s">
        <v>10</v>
      </c>
      <c r="B204" s="9">
        <v>53</v>
      </c>
      <c r="C204" s="9">
        <v>67</v>
      </c>
      <c r="D204" s="21" t="s">
        <v>37</v>
      </c>
      <c r="E204" s="9">
        <v>1</v>
      </c>
      <c r="F204" s="9" t="s">
        <v>36</v>
      </c>
      <c r="G204" s="9"/>
      <c r="H204" s="9"/>
    </row>
    <row r="205" spans="1:8" x14ac:dyDescent="0.55000000000000004">
      <c r="A205" s="10" t="s">
        <v>11</v>
      </c>
      <c r="B205" s="9">
        <v>51</v>
      </c>
      <c r="C205" s="9">
        <v>63</v>
      </c>
      <c r="D205" s="21" t="s">
        <v>37</v>
      </c>
      <c r="E205" s="9">
        <v>1</v>
      </c>
      <c r="F205" s="9" t="s">
        <v>36</v>
      </c>
      <c r="G205" s="9"/>
      <c r="H205" s="9"/>
    </row>
    <row r="206" spans="1:8" x14ac:dyDescent="0.55000000000000004">
      <c r="A206" s="11" t="s">
        <v>12</v>
      </c>
      <c r="B206" s="9">
        <v>51</v>
      </c>
      <c r="C206" s="9">
        <v>67</v>
      </c>
      <c r="D206" s="21" t="s">
        <v>37</v>
      </c>
      <c r="E206" s="9">
        <v>1</v>
      </c>
      <c r="F206" s="9" t="s">
        <v>36</v>
      </c>
      <c r="G206" s="9"/>
      <c r="H206" s="9"/>
    </row>
    <row r="207" spans="1:8" ht="14.7" thickBot="1" x14ac:dyDescent="0.6">
      <c r="A207" s="13" t="s">
        <v>13</v>
      </c>
      <c r="B207" s="22">
        <v>53</v>
      </c>
      <c r="C207" s="22">
        <v>64</v>
      </c>
      <c r="D207" s="26" t="s">
        <v>37</v>
      </c>
      <c r="E207" s="14">
        <v>1</v>
      </c>
      <c r="F207" s="14" t="s">
        <v>36</v>
      </c>
      <c r="G207" s="14">
        <v>629</v>
      </c>
      <c r="H207" s="14">
        <f>Tabla269856[[#This Row],[Total cluster weight (g)]]/COUNTA(A203:A207)</f>
        <v>125.8</v>
      </c>
    </row>
    <row r="208" spans="1:8" x14ac:dyDescent="0.55000000000000004">
      <c r="A208" s="6" t="s">
        <v>41</v>
      </c>
      <c r="B208" s="9">
        <v>49</v>
      </c>
      <c r="C208" s="9">
        <v>62</v>
      </c>
      <c r="D208" s="21" t="s">
        <v>37</v>
      </c>
      <c r="E208" s="9">
        <v>2</v>
      </c>
      <c r="F208" s="9" t="s">
        <v>36</v>
      </c>
      <c r="G208" s="9"/>
      <c r="H208" s="12"/>
    </row>
    <row r="209" spans="1:9" x14ac:dyDescent="0.55000000000000004">
      <c r="A209" s="10" t="s">
        <v>42</v>
      </c>
      <c r="B209" s="9">
        <v>51</v>
      </c>
      <c r="C209" s="9">
        <v>62</v>
      </c>
      <c r="D209" s="21" t="s">
        <v>37</v>
      </c>
      <c r="E209" s="9">
        <v>2</v>
      </c>
      <c r="F209" s="9" t="s">
        <v>36</v>
      </c>
      <c r="G209" s="9"/>
      <c r="H209" s="9"/>
    </row>
    <row r="210" spans="1:9" x14ac:dyDescent="0.55000000000000004">
      <c r="A210" s="10" t="s">
        <v>43</v>
      </c>
      <c r="B210" s="9">
        <v>52</v>
      </c>
      <c r="C210" s="9">
        <v>65</v>
      </c>
      <c r="D210" s="21" t="s">
        <v>37</v>
      </c>
      <c r="E210" s="9">
        <v>2</v>
      </c>
      <c r="F210" s="9" t="s">
        <v>36</v>
      </c>
      <c r="G210" s="9"/>
      <c r="H210" s="9"/>
    </row>
    <row r="211" spans="1:9" x14ac:dyDescent="0.55000000000000004">
      <c r="A211" s="10" t="s">
        <v>47</v>
      </c>
      <c r="B211" s="9">
        <v>50</v>
      </c>
      <c r="C211" s="9">
        <v>65</v>
      </c>
      <c r="D211" s="21" t="s">
        <v>37</v>
      </c>
      <c r="E211" s="9">
        <v>2</v>
      </c>
      <c r="F211" s="9" t="s">
        <v>36</v>
      </c>
      <c r="G211" s="9"/>
      <c r="H211" s="9"/>
    </row>
    <row r="212" spans="1:9" ht="14.7" thickBot="1" x14ac:dyDescent="0.6">
      <c r="A212" s="35" t="s">
        <v>48</v>
      </c>
      <c r="B212" s="14">
        <v>50</v>
      </c>
      <c r="C212" s="14">
        <v>70</v>
      </c>
      <c r="D212" s="23" t="s">
        <v>37</v>
      </c>
      <c r="E212" s="14">
        <v>2</v>
      </c>
      <c r="F212" s="14" t="s">
        <v>36</v>
      </c>
      <c r="G212" s="14">
        <v>579</v>
      </c>
      <c r="H212" s="14">
        <f>Tabla269856[[#This Row],[Total cluster weight (g)]]/COUNTA(A208:A212)</f>
        <v>115.8</v>
      </c>
    </row>
    <row r="213" spans="1:9" x14ac:dyDescent="0.55000000000000004">
      <c r="A213" s="6" t="s">
        <v>49</v>
      </c>
      <c r="B213" s="9">
        <v>46</v>
      </c>
      <c r="C213" s="9">
        <v>62</v>
      </c>
      <c r="D213" s="21" t="s">
        <v>37</v>
      </c>
      <c r="E213" s="9">
        <v>3</v>
      </c>
      <c r="F213" s="9" t="s">
        <v>36</v>
      </c>
      <c r="G213" s="9"/>
      <c r="H213" s="12"/>
    </row>
    <row r="214" spans="1:9" x14ac:dyDescent="0.55000000000000004">
      <c r="A214" s="8" t="s">
        <v>50</v>
      </c>
      <c r="B214" s="9">
        <v>48</v>
      </c>
      <c r="C214" s="9">
        <v>63</v>
      </c>
      <c r="D214" s="21" t="s">
        <v>37</v>
      </c>
      <c r="E214" s="9">
        <v>3</v>
      </c>
      <c r="F214" s="9" t="s">
        <v>36</v>
      </c>
      <c r="G214" s="9"/>
      <c r="H214" s="9"/>
    </row>
    <row r="215" spans="1:9" x14ac:dyDescent="0.55000000000000004">
      <c r="A215" s="10" t="s">
        <v>51</v>
      </c>
      <c r="B215" s="9">
        <v>47</v>
      </c>
      <c r="C215" s="9">
        <v>65</v>
      </c>
      <c r="D215" s="21" t="s">
        <v>37</v>
      </c>
      <c r="E215" s="9">
        <v>3</v>
      </c>
      <c r="F215" s="9" t="s">
        <v>36</v>
      </c>
      <c r="G215" s="9"/>
      <c r="H215" s="9"/>
    </row>
    <row r="216" spans="1:9" x14ac:dyDescent="0.55000000000000004">
      <c r="A216" s="11" t="s">
        <v>52</v>
      </c>
      <c r="B216" s="9">
        <v>49</v>
      </c>
      <c r="C216" s="9">
        <v>64</v>
      </c>
      <c r="D216" s="21" t="s">
        <v>37</v>
      </c>
      <c r="E216" s="9">
        <v>3</v>
      </c>
      <c r="F216" s="9" t="s">
        <v>36</v>
      </c>
      <c r="G216" s="9"/>
      <c r="H216" s="9"/>
    </row>
    <row r="217" spans="1:9" ht="14.7" thickBot="1" x14ac:dyDescent="0.6">
      <c r="A217" s="32" t="s">
        <v>53</v>
      </c>
      <c r="B217" s="14">
        <v>50</v>
      </c>
      <c r="C217" s="14">
        <v>66</v>
      </c>
      <c r="D217" s="23" t="s">
        <v>37</v>
      </c>
      <c r="E217" s="14">
        <v>3</v>
      </c>
      <c r="F217" s="14" t="s">
        <v>36</v>
      </c>
      <c r="G217" s="14">
        <v>529</v>
      </c>
      <c r="H217" s="14">
        <f>Tabla269856[[#This Row],[Total cluster weight (g)]]/COUNTA(A213:A217)</f>
        <v>105.8</v>
      </c>
    </row>
    <row r="218" spans="1:9" x14ac:dyDescent="0.55000000000000004">
      <c r="A218" s="6" t="s">
        <v>85</v>
      </c>
      <c r="B218" s="12">
        <v>49</v>
      </c>
      <c r="C218" s="12">
        <v>66</v>
      </c>
      <c r="D218" s="28" t="s">
        <v>37</v>
      </c>
      <c r="E218" s="12">
        <v>4</v>
      </c>
      <c r="F218" s="12" t="s">
        <v>68</v>
      </c>
      <c r="G218" s="12"/>
      <c r="H218" s="12"/>
      <c r="I218" t="s">
        <v>56</v>
      </c>
    </row>
    <row r="219" spans="1:9" x14ac:dyDescent="0.55000000000000004">
      <c r="A219" s="8" t="s">
        <v>74</v>
      </c>
      <c r="B219" s="9">
        <v>49</v>
      </c>
      <c r="C219" s="9">
        <v>59</v>
      </c>
      <c r="D219" s="21" t="s">
        <v>37</v>
      </c>
      <c r="E219" s="9">
        <v>4</v>
      </c>
      <c r="F219" s="9" t="s">
        <v>68</v>
      </c>
      <c r="G219" s="9"/>
      <c r="H219" s="9"/>
    </row>
    <row r="220" spans="1:9" x14ac:dyDescent="0.55000000000000004">
      <c r="A220" s="10" t="s">
        <v>86</v>
      </c>
      <c r="B220" s="9">
        <v>56</v>
      </c>
      <c r="C220" s="9">
        <v>67</v>
      </c>
      <c r="D220" s="21" t="s">
        <v>37</v>
      </c>
      <c r="E220" s="9">
        <v>4</v>
      </c>
      <c r="F220" s="9" t="s">
        <v>35</v>
      </c>
      <c r="G220" s="9"/>
      <c r="H220" s="9"/>
    </row>
    <row r="221" spans="1:9" x14ac:dyDescent="0.55000000000000004">
      <c r="A221" s="11" t="s">
        <v>67</v>
      </c>
      <c r="B221" s="9">
        <v>50</v>
      </c>
      <c r="C221" s="9">
        <v>69</v>
      </c>
      <c r="D221" s="21" t="s">
        <v>37</v>
      </c>
      <c r="E221" s="9">
        <v>4</v>
      </c>
      <c r="F221" s="9" t="s">
        <v>35</v>
      </c>
      <c r="G221" s="9"/>
      <c r="H221" s="9"/>
    </row>
    <row r="222" spans="1:9" x14ac:dyDescent="0.55000000000000004">
      <c r="A222" s="10" t="s">
        <v>71</v>
      </c>
      <c r="B222" s="9">
        <v>50</v>
      </c>
      <c r="C222" s="9">
        <v>66</v>
      </c>
      <c r="D222" s="21" t="s">
        <v>37</v>
      </c>
      <c r="E222" s="9">
        <v>4</v>
      </c>
      <c r="F222" s="9" t="s">
        <v>36</v>
      </c>
      <c r="G222" s="9"/>
      <c r="H222" s="9"/>
    </row>
    <row r="223" spans="1:9" ht="14.7" thickBot="1" x14ac:dyDescent="0.6">
      <c r="A223" s="13" t="s">
        <v>89</v>
      </c>
      <c r="B223" s="14">
        <v>47</v>
      </c>
      <c r="C223" s="14">
        <v>66</v>
      </c>
      <c r="D223" s="23" t="s">
        <v>37</v>
      </c>
      <c r="E223" s="14">
        <v>4</v>
      </c>
      <c r="F223" s="14" t="s">
        <v>36</v>
      </c>
      <c r="G223" s="14">
        <v>662</v>
      </c>
      <c r="H223" s="14">
        <f>Tabla269856[[#This Row],[Total cluster weight (g)]]/COUNTA(A218:A223)</f>
        <v>110.33333333333333</v>
      </c>
    </row>
    <row r="224" spans="1:9" x14ac:dyDescent="0.55000000000000004">
      <c r="A224" s="61" t="s">
        <v>92</v>
      </c>
      <c r="B224" s="9">
        <v>46</v>
      </c>
      <c r="C224" s="9">
        <v>61</v>
      </c>
      <c r="D224" s="21" t="s">
        <v>37</v>
      </c>
      <c r="E224" s="9">
        <v>5</v>
      </c>
      <c r="F224" s="9" t="s">
        <v>35</v>
      </c>
      <c r="G224" s="9"/>
      <c r="H224" s="88"/>
    </row>
    <row r="225" spans="1:8" x14ac:dyDescent="0.55000000000000004">
      <c r="A225" s="61" t="s">
        <v>93</v>
      </c>
      <c r="B225" s="9">
        <v>49</v>
      </c>
      <c r="C225" s="9">
        <v>62</v>
      </c>
      <c r="D225" s="21" t="s">
        <v>37</v>
      </c>
      <c r="E225" s="9">
        <v>5</v>
      </c>
      <c r="F225" s="9" t="s">
        <v>36</v>
      </c>
      <c r="G225" s="9"/>
      <c r="H225" s="88"/>
    </row>
    <row r="226" spans="1:8" x14ac:dyDescent="0.55000000000000004">
      <c r="A226" s="61" t="s">
        <v>94</v>
      </c>
      <c r="B226" s="9">
        <v>47</v>
      </c>
      <c r="C226" s="9">
        <v>62</v>
      </c>
      <c r="D226" s="21" t="s">
        <v>37</v>
      </c>
      <c r="E226" s="9">
        <v>5</v>
      </c>
      <c r="F226" s="9" t="s">
        <v>36</v>
      </c>
      <c r="G226" s="9"/>
      <c r="H226" s="88"/>
    </row>
    <row r="227" spans="1:8" x14ac:dyDescent="0.55000000000000004">
      <c r="A227" s="61" t="s">
        <v>95</v>
      </c>
      <c r="B227" s="9">
        <v>49</v>
      </c>
      <c r="C227" s="9">
        <v>60</v>
      </c>
      <c r="D227" s="21" t="s">
        <v>37</v>
      </c>
      <c r="E227" s="9">
        <v>5</v>
      </c>
      <c r="F227" s="9" t="s">
        <v>36</v>
      </c>
      <c r="G227" s="9"/>
      <c r="H227" s="88"/>
    </row>
    <row r="228" spans="1:8" ht="14.7" thickBot="1" x14ac:dyDescent="0.6">
      <c r="A228" s="94" t="s">
        <v>144</v>
      </c>
      <c r="B228" s="14">
        <v>49</v>
      </c>
      <c r="C228" s="14">
        <v>64</v>
      </c>
      <c r="D228" s="23" t="s">
        <v>37</v>
      </c>
      <c r="E228" s="14">
        <v>5</v>
      </c>
      <c r="F228" s="14" t="s">
        <v>36</v>
      </c>
      <c r="G228" s="14">
        <v>499</v>
      </c>
      <c r="H228" s="14">
        <f>Tabla269856[[#This Row],[Total cluster weight (g)]]/COUNTA(A224:A228)</f>
        <v>99.8</v>
      </c>
    </row>
    <row r="229" spans="1:8" x14ac:dyDescent="0.55000000000000004">
      <c r="A229" s="6" t="s">
        <v>150</v>
      </c>
      <c r="B229" s="7">
        <v>47</v>
      </c>
      <c r="C229" s="7">
        <v>63</v>
      </c>
      <c r="D229" s="21" t="s">
        <v>37</v>
      </c>
      <c r="E229" s="9">
        <v>6</v>
      </c>
      <c r="F229" s="9" t="s">
        <v>35</v>
      </c>
      <c r="G229" s="9"/>
      <c r="H229" s="88"/>
    </row>
    <row r="230" spans="1:8" x14ac:dyDescent="0.55000000000000004">
      <c r="A230" s="8" t="s">
        <v>151</v>
      </c>
      <c r="B230" s="9">
        <v>48</v>
      </c>
      <c r="C230" s="9">
        <v>63</v>
      </c>
      <c r="D230" s="21" t="s">
        <v>37</v>
      </c>
      <c r="E230" s="9">
        <v>6</v>
      </c>
      <c r="F230" s="9" t="s">
        <v>35</v>
      </c>
      <c r="G230" s="9"/>
      <c r="H230" s="88"/>
    </row>
    <row r="231" spans="1:8" x14ac:dyDescent="0.55000000000000004">
      <c r="A231" s="10" t="s">
        <v>152</v>
      </c>
      <c r="B231" s="9">
        <v>50</v>
      </c>
      <c r="C231" s="9">
        <v>60</v>
      </c>
      <c r="D231" s="21" t="s">
        <v>37</v>
      </c>
      <c r="E231" s="9">
        <v>6</v>
      </c>
      <c r="F231" s="9" t="s">
        <v>36</v>
      </c>
      <c r="G231" s="9"/>
      <c r="H231" s="88"/>
    </row>
    <row r="232" spans="1:8" x14ac:dyDescent="0.55000000000000004">
      <c r="A232" s="11" t="s">
        <v>153</v>
      </c>
      <c r="B232" s="12">
        <v>48</v>
      </c>
      <c r="C232" s="12">
        <v>63</v>
      </c>
      <c r="D232" s="21" t="s">
        <v>37</v>
      </c>
      <c r="E232" s="9">
        <v>6</v>
      </c>
      <c r="F232" s="9" t="s">
        <v>36</v>
      </c>
      <c r="G232" s="9"/>
      <c r="H232" s="88"/>
    </row>
    <row r="233" spans="1:8" ht="14.7" thickBot="1" x14ac:dyDescent="0.6">
      <c r="A233" s="13" t="s">
        <v>158</v>
      </c>
      <c r="B233" s="14">
        <v>48</v>
      </c>
      <c r="C233" s="14">
        <v>65</v>
      </c>
      <c r="D233" s="23" t="s">
        <v>37</v>
      </c>
      <c r="E233" s="14">
        <v>6</v>
      </c>
      <c r="F233" s="14" t="s">
        <v>36</v>
      </c>
      <c r="G233" s="14">
        <v>532.5</v>
      </c>
      <c r="H233" s="14">
        <f>Tabla269856[[#This Row],[Total cluster weight (g)]]/COUNTA(A229:A233)</f>
        <v>106.5</v>
      </c>
    </row>
    <row r="234" spans="1:8" x14ac:dyDescent="0.55000000000000004">
      <c r="A234" s="61" t="s">
        <v>215</v>
      </c>
      <c r="B234" s="9">
        <v>49</v>
      </c>
      <c r="C234" s="9">
        <v>62</v>
      </c>
      <c r="D234" s="21" t="s">
        <v>37</v>
      </c>
      <c r="E234" s="9">
        <v>7</v>
      </c>
      <c r="F234" s="9" t="s">
        <v>36</v>
      </c>
      <c r="G234" s="9"/>
      <c r="H234" s="88"/>
    </row>
    <row r="235" spans="1:8" x14ac:dyDescent="0.55000000000000004">
      <c r="A235" s="61" t="s">
        <v>216</v>
      </c>
      <c r="B235" s="9">
        <v>48</v>
      </c>
      <c r="C235" s="9">
        <v>62</v>
      </c>
      <c r="D235" s="21" t="s">
        <v>37</v>
      </c>
      <c r="E235" s="9">
        <v>7</v>
      </c>
      <c r="F235" s="9" t="s">
        <v>36</v>
      </c>
      <c r="G235" s="9"/>
      <c r="H235" s="88"/>
    </row>
    <row r="236" spans="1:8" x14ac:dyDescent="0.55000000000000004">
      <c r="A236" s="61" t="s">
        <v>217</v>
      </c>
      <c r="B236" s="9">
        <v>50</v>
      </c>
      <c r="C236" s="9">
        <v>64</v>
      </c>
      <c r="D236" s="21" t="s">
        <v>37</v>
      </c>
      <c r="E236" s="9">
        <v>7</v>
      </c>
      <c r="F236" s="9" t="s">
        <v>36</v>
      </c>
      <c r="G236" s="9"/>
      <c r="H236" s="88"/>
    </row>
    <row r="237" spans="1:8" x14ac:dyDescent="0.55000000000000004">
      <c r="A237" s="61" t="s">
        <v>218</v>
      </c>
      <c r="B237" s="9">
        <v>50</v>
      </c>
      <c r="C237" s="9">
        <v>61</v>
      </c>
      <c r="D237" s="21" t="s">
        <v>37</v>
      </c>
      <c r="E237" s="9">
        <v>7</v>
      </c>
      <c r="F237" s="9" t="s">
        <v>36</v>
      </c>
      <c r="G237" s="9"/>
      <c r="H237" s="88"/>
    </row>
    <row r="238" spans="1:8" ht="14.7" thickBot="1" x14ac:dyDescent="0.6">
      <c r="A238" s="94" t="s">
        <v>219</v>
      </c>
      <c r="B238" s="14">
        <v>50</v>
      </c>
      <c r="C238" s="14">
        <v>66</v>
      </c>
      <c r="D238" s="23" t="s">
        <v>37</v>
      </c>
      <c r="E238" s="14">
        <v>7</v>
      </c>
      <c r="F238" s="14" t="s">
        <v>36</v>
      </c>
      <c r="G238" s="14">
        <v>542.5</v>
      </c>
      <c r="H238" s="102">
        <f>Tabla269856[[#This Row],[Total cluster weight (g)]]/COUNTA(A234:A238)</f>
        <v>108.5</v>
      </c>
    </row>
    <row r="239" spans="1:8" x14ac:dyDescent="0.55000000000000004">
      <c r="A239" s="61" t="s">
        <v>222</v>
      </c>
      <c r="B239" s="12">
        <v>50</v>
      </c>
      <c r="C239" s="12">
        <v>64</v>
      </c>
      <c r="D239" s="28" t="s">
        <v>37</v>
      </c>
      <c r="E239" s="12">
        <v>8</v>
      </c>
      <c r="F239" s="12" t="s">
        <v>35</v>
      </c>
      <c r="G239" s="12"/>
      <c r="H239" s="93"/>
    </row>
    <row r="240" spans="1:8" x14ac:dyDescent="0.55000000000000004">
      <c r="A240" s="61" t="s">
        <v>223</v>
      </c>
      <c r="B240" s="9">
        <v>52</v>
      </c>
      <c r="C240" s="9">
        <v>69</v>
      </c>
      <c r="D240" s="21" t="s">
        <v>37</v>
      </c>
      <c r="E240" s="9">
        <v>8</v>
      </c>
      <c r="F240" s="9" t="s">
        <v>35</v>
      </c>
      <c r="G240" s="9"/>
      <c r="H240" s="88"/>
    </row>
    <row r="241" spans="1:8" x14ac:dyDescent="0.55000000000000004">
      <c r="A241" s="61" t="s">
        <v>232</v>
      </c>
      <c r="B241" s="9">
        <v>50</v>
      </c>
      <c r="C241" s="9">
        <v>64</v>
      </c>
      <c r="D241" s="21" t="s">
        <v>37</v>
      </c>
      <c r="E241" s="9">
        <v>8</v>
      </c>
      <c r="F241" s="9" t="s">
        <v>36</v>
      </c>
      <c r="G241" s="9"/>
      <c r="H241" s="88"/>
    </row>
    <row r="242" spans="1:8" x14ac:dyDescent="0.55000000000000004">
      <c r="A242" s="61" t="s">
        <v>233</v>
      </c>
      <c r="B242" s="9">
        <v>53</v>
      </c>
      <c r="C242" s="9">
        <v>65</v>
      </c>
      <c r="D242" s="21" t="s">
        <v>37</v>
      </c>
      <c r="E242" s="9">
        <v>8</v>
      </c>
      <c r="F242" s="9" t="s">
        <v>36</v>
      </c>
      <c r="G242" s="9"/>
      <c r="H242" s="88"/>
    </row>
    <row r="243" spans="1:8" ht="14.7" thickBot="1" x14ac:dyDescent="0.6">
      <c r="A243" s="94" t="s">
        <v>234</v>
      </c>
      <c r="B243" s="14">
        <v>52</v>
      </c>
      <c r="C243" s="14">
        <v>65</v>
      </c>
      <c r="D243" s="23" t="s">
        <v>37</v>
      </c>
      <c r="E243" s="14">
        <v>8</v>
      </c>
      <c r="F243" s="14" t="s">
        <v>36</v>
      </c>
      <c r="G243" s="14">
        <v>600</v>
      </c>
      <c r="H243" s="102">
        <f>Tabla269856[[#This Row],[Total cluster weight (g)]]/COUNTA(A239:A243)</f>
        <v>120</v>
      </c>
    </row>
    <row r="244" spans="1:8" x14ac:dyDescent="0.55000000000000004">
      <c r="A244" s="61" t="s">
        <v>235</v>
      </c>
      <c r="B244" s="9">
        <v>51</v>
      </c>
      <c r="C244" s="9">
        <v>65</v>
      </c>
      <c r="D244" s="21" t="s">
        <v>37</v>
      </c>
      <c r="E244" s="9">
        <v>9</v>
      </c>
      <c r="F244" s="9" t="s">
        <v>35</v>
      </c>
      <c r="G244" s="9"/>
      <c r="H244" s="88"/>
    </row>
    <row r="245" spans="1:8" x14ac:dyDescent="0.55000000000000004">
      <c r="A245" s="61" t="s">
        <v>236</v>
      </c>
      <c r="B245" s="9">
        <v>52</v>
      </c>
      <c r="C245" s="9">
        <v>67</v>
      </c>
      <c r="D245" s="21" t="s">
        <v>37</v>
      </c>
      <c r="E245" s="9">
        <v>9</v>
      </c>
      <c r="F245" s="9" t="s">
        <v>35</v>
      </c>
      <c r="G245" s="9"/>
      <c r="H245" s="88"/>
    </row>
    <row r="246" spans="1:8" x14ac:dyDescent="0.55000000000000004">
      <c r="A246" s="61" t="s">
        <v>248</v>
      </c>
      <c r="B246" s="9">
        <v>51</v>
      </c>
      <c r="C246" s="9">
        <v>64</v>
      </c>
      <c r="D246" s="21" t="s">
        <v>37</v>
      </c>
      <c r="E246" s="9">
        <v>9</v>
      </c>
      <c r="F246" s="9" t="s">
        <v>35</v>
      </c>
      <c r="G246" s="9"/>
      <c r="H246" s="88"/>
    </row>
    <row r="247" spans="1:8" ht="14.7" thickBot="1" x14ac:dyDescent="0.6">
      <c r="A247" s="94" t="s">
        <v>249</v>
      </c>
      <c r="B247" s="14">
        <v>50</v>
      </c>
      <c r="C247" s="14">
        <v>60</v>
      </c>
      <c r="D247" s="23" t="s">
        <v>37</v>
      </c>
      <c r="E247" s="14">
        <v>9</v>
      </c>
      <c r="F247" s="14" t="s">
        <v>36</v>
      </c>
      <c r="G247" s="14">
        <v>466</v>
      </c>
      <c r="H247" s="102">
        <f>Tabla269856[[#This Row],[Total cluster weight (g)]]/COUNTA(A244:A247)</f>
        <v>116.5</v>
      </c>
    </row>
    <row r="248" spans="1:8" x14ac:dyDescent="0.55000000000000004">
      <c r="A248" s="29"/>
      <c r="B248" s="30"/>
      <c r="C248" s="30"/>
      <c r="D248" s="31"/>
      <c r="E248" s="30"/>
      <c r="F248" s="30"/>
      <c r="G248" s="30"/>
      <c r="H248" s="30"/>
    </row>
    <row r="249" spans="1:8" x14ac:dyDescent="0.55000000000000004">
      <c r="A249" s="59" t="s">
        <v>185</v>
      </c>
      <c r="B249" s="55" t="s">
        <v>162</v>
      </c>
      <c r="C249" s="55" t="s">
        <v>163</v>
      </c>
      <c r="D249" s="55" t="s">
        <v>164</v>
      </c>
      <c r="E249" s="55" t="s">
        <v>165</v>
      </c>
      <c r="F249" s="56" t="s">
        <v>189</v>
      </c>
      <c r="G249" s="110" t="s">
        <v>230</v>
      </c>
    </row>
    <row r="250" spans="1:8" x14ac:dyDescent="0.55000000000000004">
      <c r="A250" s="60" t="s">
        <v>166</v>
      </c>
      <c r="B250" s="57">
        <f>AVERAGE(Tabla269856[Height (mm)])</f>
        <v>49.844444444444441</v>
      </c>
      <c r="C250" s="57">
        <f>AVERAGE(Tabla269856[Width (mm)])</f>
        <v>64.066666666666663</v>
      </c>
      <c r="D250" s="57">
        <f>MAX(Tabla269856[[Cluster number ]])</f>
        <v>9</v>
      </c>
      <c r="E250" s="57">
        <f>AVERAGE(Tabla269856[Tomato average weight per cluster])</f>
        <v>112.11481481481481</v>
      </c>
      <c r="F250" s="58">
        <f>COUNTA(Tabla269856["C5" PLANT])</f>
        <v>45</v>
      </c>
      <c r="G250" s="109">
        <f>SUM(Tabla269856[Total cluster weight (g)])</f>
        <v>5039</v>
      </c>
    </row>
    <row r="252" spans="1:8" ht="14.7" thickBot="1" x14ac:dyDescent="0.6">
      <c r="A252" s="5" t="s">
        <v>18</v>
      </c>
      <c r="B252" t="s">
        <v>3</v>
      </c>
      <c r="C252" t="s">
        <v>4</v>
      </c>
      <c r="D252" t="s">
        <v>5</v>
      </c>
      <c r="E252" t="s">
        <v>6</v>
      </c>
      <c r="F252" t="s">
        <v>7</v>
      </c>
      <c r="G252" t="s">
        <v>8</v>
      </c>
      <c r="H252" t="s">
        <v>161</v>
      </c>
    </row>
    <row r="253" spans="1:8" x14ac:dyDescent="0.55000000000000004">
      <c r="A253" s="6" t="s">
        <v>9</v>
      </c>
      <c r="B253" s="7">
        <v>45</v>
      </c>
      <c r="C253" s="7">
        <v>55</v>
      </c>
      <c r="D253" s="21" t="s">
        <v>37</v>
      </c>
      <c r="E253" s="9">
        <v>1</v>
      </c>
      <c r="F253" s="9" t="s">
        <v>35</v>
      </c>
      <c r="G253" s="9"/>
      <c r="H253" s="12"/>
    </row>
    <row r="254" spans="1:8" x14ac:dyDescent="0.55000000000000004">
      <c r="A254" s="10" t="s">
        <v>10</v>
      </c>
      <c r="B254" s="9">
        <v>46</v>
      </c>
      <c r="C254" s="9">
        <v>62</v>
      </c>
      <c r="D254" s="21" t="s">
        <v>37</v>
      </c>
      <c r="E254" s="9">
        <v>1</v>
      </c>
      <c r="F254" s="9" t="s">
        <v>35</v>
      </c>
      <c r="G254" s="9"/>
      <c r="H254" s="9"/>
    </row>
    <row r="255" spans="1:8" x14ac:dyDescent="0.55000000000000004">
      <c r="A255" s="10" t="s">
        <v>11</v>
      </c>
      <c r="B255" s="9">
        <v>49</v>
      </c>
      <c r="C255" s="9">
        <v>64</v>
      </c>
      <c r="D255" s="21" t="s">
        <v>37</v>
      </c>
      <c r="E255" s="9">
        <v>1</v>
      </c>
      <c r="F255" s="9" t="s">
        <v>36</v>
      </c>
      <c r="G255" s="9"/>
      <c r="H255" s="9"/>
    </row>
    <row r="256" spans="1:8" x14ac:dyDescent="0.55000000000000004">
      <c r="A256" s="11" t="s">
        <v>12</v>
      </c>
      <c r="B256" s="12">
        <v>50</v>
      </c>
      <c r="C256" s="12">
        <v>63</v>
      </c>
      <c r="D256" s="21" t="s">
        <v>37</v>
      </c>
      <c r="E256" s="9">
        <v>1</v>
      </c>
      <c r="F256" s="9" t="s">
        <v>36</v>
      </c>
      <c r="G256" s="9"/>
      <c r="H256" s="9"/>
    </row>
    <row r="257" spans="1:9" ht="14.7" thickBot="1" x14ac:dyDescent="0.6">
      <c r="A257" s="13" t="s">
        <v>13</v>
      </c>
      <c r="B257" s="14">
        <v>50</v>
      </c>
      <c r="C257" s="14">
        <v>68</v>
      </c>
      <c r="D257" s="23" t="s">
        <v>37</v>
      </c>
      <c r="E257" s="14">
        <v>1</v>
      </c>
      <c r="F257" s="14" t="s">
        <v>36</v>
      </c>
      <c r="G257" s="14">
        <v>521</v>
      </c>
      <c r="H257" s="14">
        <f>Tabla269957[[#This Row],[Total cluster weight (g)]]/COUNTA(A253:A257)</f>
        <v>104.2</v>
      </c>
    </row>
    <row r="258" spans="1:9" x14ac:dyDescent="0.55000000000000004">
      <c r="A258" s="10" t="s">
        <v>41</v>
      </c>
      <c r="B258" s="9">
        <v>51</v>
      </c>
      <c r="C258" s="9">
        <v>70</v>
      </c>
      <c r="D258" s="21" t="s">
        <v>37</v>
      </c>
      <c r="E258" s="9">
        <v>2</v>
      </c>
      <c r="F258" s="9" t="s">
        <v>35</v>
      </c>
      <c r="G258" s="9"/>
      <c r="H258" s="12"/>
    </row>
    <row r="259" spans="1:9" x14ac:dyDescent="0.55000000000000004">
      <c r="A259" s="10" t="s">
        <v>42</v>
      </c>
      <c r="B259" s="9">
        <v>52</v>
      </c>
      <c r="C259" s="9">
        <v>65</v>
      </c>
      <c r="D259" s="21" t="s">
        <v>37</v>
      </c>
      <c r="E259" s="9">
        <v>2</v>
      </c>
      <c r="F259" s="9" t="s">
        <v>36</v>
      </c>
      <c r="G259" s="9"/>
      <c r="H259" s="9"/>
    </row>
    <row r="260" spans="1:9" x14ac:dyDescent="0.55000000000000004">
      <c r="A260" s="10" t="s">
        <v>43</v>
      </c>
      <c r="B260" s="9">
        <v>51</v>
      </c>
      <c r="C260" s="9">
        <v>66</v>
      </c>
      <c r="D260" s="21" t="s">
        <v>37</v>
      </c>
      <c r="E260" s="9">
        <v>2</v>
      </c>
      <c r="F260" s="9" t="s">
        <v>36</v>
      </c>
      <c r="G260" s="9"/>
      <c r="H260" s="9"/>
    </row>
    <row r="261" spans="1:9" x14ac:dyDescent="0.55000000000000004">
      <c r="A261" s="10" t="s">
        <v>47</v>
      </c>
      <c r="B261" s="9">
        <v>51</v>
      </c>
      <c r="C261" s="9">
        <v>63</v>
      </c>
      <c r="D261" s="21" t="s">
        <v>37</v>
      </c>
      <c r="E261" s="9">
        <v>2</v>
      </c>
      <c r="F261" s="9" t="s">
        <v>36</v>
      </c>
      <c r="G261" s="9"/>
      <c r="H261" s="9"/>
    </row>
    <row r="262" spans="1:9" ht="14.7" thickBot="1" x14ac:dyDescent="0.6">
      <c r="A262" s="35" t="s">
        <v>48</v>
      </c>
      <c r="B262" s="14">
        <v>52</v>
      </c>
      <c r="C262" s="14">
        <v>66</v>
      </c>
      <c r="D262" s="23" t="s">
        <v>37</v>
      </c>
      <c r="E262" s="14">
        <v>2</v>
      </c>
      <c r="F262" s="14" t="s">
        <v>36</v>
      </c>
      <c r="G262" s="14">
        <v>573</v>
      </c>
      <c r="H262" s="14">
        <f>Tabla269957[[#This Row],[Total cluster weight (g)]]/COUNTA(A258:A262)</f>
        <v>114.6</v>
      </c>
    </row>
    <row r="263" spans="1:9" x14ac:dyDescent="0.55000000000000004">
      <c r="A263" s="6" t="s">
        <v>90</v>
      </c>
      <c r="B263" s="9">
        <v>48</v>
      </c>
      <c r="C263" s="9">
        <v>62</v>
      </c>
      <c r="D263" s="21" t="s">
        <v>37</v>
      </c>
      <c r="E263" s="9">
        <v>3</v>
      </c>
      <c r="F263" s="9" t="s">
        <v>68</v>
      </c>
      <c r="G263" s="9"/>
      <c r="H263" s="12"/>
      <c r="I263" t="s">
        <v>56</v>
      </c>
    </row>
    <row r="264" spans="1:9" x14ac:dyDescent="0.55000000000000004">
      <c r="A264" s="10" t="s">
        <v>76</v>
      </c>
      <c r="B264" s="9">
        <v>47</v>
      </c>
      <c r="C264" s="9">
        <v>59</v>
      </c>
      <c r="D264" s="21" t="s">
        <v>37</v>
      </c>
      <c r="E264" s="9">
        <v>3</v>
      </c>
      <c r="F264" s="9" t="s">
        <v>35</v>
      </c>
      <c r="G264" s="9"/>
      <c r="H264" s="9"/>
    </row>
    <row r="265" spans="1:9" x14ac:dyDescent="0.55000000000000004">
      <c r="A265" s="10" t="s">
        <v>91</v>
      </c>
      <c r="B265" s="9">
        <v>48</v>
      </c>
      <c r="C265" s="9">
        <v>62</v>
      </c>
      <c r="D265" s="21" t="s">
        <v>37</v>
      </c>
      <c r="E265" s="9">
        <v>3</v>
      </c>
      <c r="F265" s="9" t="s">
        <v>36</v>
      </c>
      <c r="G265" s="9"/>
      <c r="H265" s="9"/>
    </row>
    <row r="266" spans="1:9" x14ac:dyDescent="0.55000000000000004">
      <c r="A266" s="11" t="s">
        <v>52</v>
      </c>
      <c r="B266" s="9">
        <v>48</v>
      </c>
      <c r="C266" s="9">
        <v>63</v>
      </c>
      <c r="D266" s="21" t="s">
        <v>37</v>
      </c>
      <c r="E266" s="9">
        <v>3</v>
      </c>
      <c r="F266" s="9" t="s">
        <v>36</v>
      </c>
      <c r="G266" s="9"/>
      <c r="H266" s="9"/>
    </row>
    <row r="267" spans="1:9" ht="14.7" thickBot="1" x14ac:dyDescent="0.6">
      <c r="A267" s="13" t="s">
        <v>53</v>
      </c>
      <c r="B267" s="14">
        <v>49</v>
      </c>
      <c r="C267" s="14">
        <v>71</v>
      </c>
      <c r="D267" s="23" t="s">
        <v>37</v>
      </c>
      <c r="E267" s="14">
        <v>3</v>
      </c>
      <c r="F267" s="14" t="s">
        <v>36</v>
      </c>
      <c r="G267" s="14">
        <v>522.5</v>
      </c>
      <c r="H267" s="14">
        <f>Tabla269957[[#This Row],[Total cluster weight (g)]]/COUNTA(A263:A267)</f>
        <v>104.5</v>
      </c>
    </row>
    <row r="268" spans="1:9" x14ac:dyDescent="0.55000000000000004">
      <c r="A268" s="6" t="s">
        <v>80</v>
      </c>
      <c r="B268" s="7">
        <v>47</v>
      </c>
      <c r="C268" s="7">
        <v>62</v>
      </c>
      <c r="D268" s="21" t="s">
        <v>37</v>
      </c>
      <c r="E268" s="9">
        <v>4</v>
      </c>
      <c r="F268" s="9" t="s">
        <v>68</v>
      </c>
      <c r="G268" s="9"/>
      <c r="H268" s="88"/>
    </row>
    <row r="269" spans="1:9" x14ac:dyDescent="0.55000000000000004">
      <c r="A269" s="10" t="s">
        <v>81</v>
      </c>
      <c r="B269" s="9">
        <v>48</v>
      </c>
      <c r="C269" s="9">
        <v>59</v>
      </c>
      <c r="D269" s="21" t="s">
        <v>37</v>
      </c>
      <c r="E269" s="9">
        <v>4</v>
      </c>
      <c r="F269" s="9" t="s">
        <v>35</v>
      </c>
      <c r="G269" s="9"/>
      <c r="H269" s="88"/>
    </row>
    <row r="270" spans="1:9" x14ac:dyDescent="0.55000000000000004">
      <c r="A270" s="10" t="s">
        <v>66</v>
      </c>
      <c r="B270" s="9">
        <v>52</v>
      </c>
      <c r="C270" s="9">
        <v>69</v>
      </c>
      <c r="D270" s="21" t="s">
        <v>37</v>
      </c>
      <c r="E270" s="9">
        <v>4</v>
      </c>
      <c r="F270" s="9" t="s">
        <v>35</v>
      </c>
      <c r="G270" s="9"/>
      <c r="H270" s="88"/>
    </row>
    <row r="271" spans="1:9" x14ac:dyDescent="0.55000000000000004">
      <c r="A271" s="11" t="s">
        <v>67</v>
      </c>
      <c r="B271" s="12">
        <v>52</v>
      </c>
      <c r="C271" s="12">
        <v>64</v>
      </c>
      <c r="D271" s="21" t="s">
        <v>37</v>
      </c>
      <c r="E271" s="9">
        <v>4</v>
      </c>
      <c r="F271" s="12" t="s">
        <v>36</v>
      </c>
      <c r="G271" s="9"/>
      <c r="H271" s="88"/>
    </row>
    <row r="272" spans="1:9" ht="14.7" thickBot="1" x14ac:dyDescent="0.6">
      <c r="A272" s="13" t="s">
        <v>71</v>
      </c>
      <c r="B272" s="14">
        <v>52</v>
      </c>
      <c r="C272" s="14">
        <v>64</v>
      </c>
      <c r="D272" s="23" t="s">
        <v>37</v>
      </c>
      <c r="E272" s="14">
        <v>4</v>
      </c>
      <c r="F272" s="14" t="s">
        <v>36</v>
      </c>
      <c r="G272" s="14">
        <v>511</v>
      </c>
      <c r="H272" s="14">
        <f>Tabla269957[[#This Row],[Total cluster weight (g)]]/COUNTA(A268:A272)</f>
        <v>102.2</v>
      </c>
    </row>
    <row r="273" spans="1:8" x14ac:dyDescent="0.55000000000000004">
      <c r="A273" s="61" t="s">
        <v>89</v>
      </c>
      <c r="B273" s="9">
        <v>49</v>
      </c>
      <c r="C273" s="9">
        <v>67</v>
      </c>
      <c r="D273" s="21" t="s">
        <v>37</v>
      </c>
      <c r="E273" s="9">
        <v>5</v>
      </c>
      <c r="F273" s="9" t="s">
        <v>36</v>
      </c>
      <c r="G273" s="9"/>
      <c r="H273" s="88"/>
    </row>
    <row r="274" spans="1:8" x14ac:dyDescent="0.55000000000000004">
      <c r="A274" s="61" t="s">
        <v>92</v>
      </c>
      <c r="B274" s="9">
        <v>51</v>
      </c>
      <c r="C274" s="9">
        <v>70</v>
      </c>
      <c r="D274" s="21" t="s">
        <v>37</v>
      </c>
      <c r="E274" s="9">
        <v>5</v>
      </c>
      <c r="F274" s="9" t="s">
        <v>36</v>
      </c>
      <c r="G274" s="9"/>
      <c r="H274" s="88"/>
    </row>
    <row r="275" spans="1:8" x14ac:dyDescent="0.55000000000000004">
      <c r="A275" s="61" t="s">
        <v>93</v>
      </c>
      <c r="B275" s="9">
        <v>51</v>
      </c>
      <c r="C275" s="9">
        <v>66</v>
      </c>
      <c r="D275" s="21" t="s">
        <v>37</v>
      </c>
      <c r="E275" s="9">
        <v>5</v>
      </c>
      <c r="F275" s="9" t="s">
        <v>36</v>
      </c>
      <c r="G275" s="9"/>
      <c r="H275" s="88"/>
    </row>
    <row r="276" spans="1:8" x14ac:dyDescent="0.55000000000000004">
      <c r="A276" s="61" t="s">
        <v>94</v>
      </c>
      <c r="B276" s="9">
        <v>52</v>
      </c>
      <c r="C276" s="9">
        <v>65</v>
      </c>
      <c r="D276" s="21" t="s">
        <v>37</v>
      </c>
      <c r="E276" s="9">
        <v>5</v>
      </c>
      <c r="F276" s="9" t="s">
        <v>36</v>
      </c>
      <c r="G276" s="9"/>
      <c r="H276" s="88"/>
    </row>
    <row r="277" spans="1:8" x14ac:dyDescent="0.55000000000000004">
      <c r="A277" s="61" t="s">
        <v>95</v>
      </c>
      <c r="B277" s="9">
        <v>55</v>
      </c>
      <c r="C277" s="9">
        <v>63</v>
      </c>
      <c r="D277" s="21" t="s">
        <v>37</v>
      </c>
      <c r="E277" s="9">
        <v>5</v>
      </c>
      <c r="F277" s="9" t="s">
        <v>36</v>
      </c>
      <c r="G277" s="9"/>
      <c r="H277" s="88"/>
    </row>
    <row r="278" spans="1:8" ht="14.7" thickBot="1" x14ac:dyDescent="0.6">
      <c r="A278" s="94" t="s">
        <v>144</v>
      </c>
      <c r="B278" s="14">
        <v>49</v>
      </c>
      <c r="C278" s="14">
        <v>66</v>
      </c>
      <c r="D278" s="23" t="s">
        <v>37</v>
      </c>
      <c r="E278" s="14">
        <v>5</v>
      </c>
      <c r="F278" s="14" t="s">
        <v>36</v>
      </c>
      <c r="G278" s="14">
        <v>695.5</v>
      </c>
      <c r="H278" s="102">
        <f>Tabla269957[[#This Row],[Total cluster weight (g)]]/COUNTA(A273:A278)</f>
        <v>115.91666666666667</v>
      </c>
    </row>
    <row r="279" spans="1:8" x14ac:dyDescent="0.55000000000000004">
      <c r="A279" s="61" t="s">
        <v>150</v>
      </c>
      <c r="B279" s="12">
        <v>51</v>
      </c>
      <c r="C279" s="12">
        <v>65</v>
      </c>
      <c r="D279" s="28" t="s">
        <v>37</v>
      </c>
      <c r="E279" s="12">
        <v>6</v>
      </c>
      <c r="F279" s="12" t="s">
        <v>35</v>
      </c>
      <c r="G279" s="12"/>
      <c r="H279" s="93"/>
    </row>
    <row r="280" spans="1:8" x14ac:dyDescent="0.55000000000000004">
      <c r="A280" s="61" t="s">
        <v>151</v>
      </c>
      <c r="B280" s="9">
        <v>50</v>
      </c>
      <c r="C280" s="9">
        <v>63</v>
      </c>
      <c r="D280" s="21" t="s">
        <v>37</v>
      </c>
      <c r="E280" s="9">
        <v>6</v>
      </c>
      <c r="F280" s="9" t="s">
        <v>35</v>
      </c>
      <c r="G280" s="9"/>
      <c r="H280" s="88"/>
    </row>
    <row r="281" spans="1:8" x14ac:dyDescent="0.55000000000000004">
      <c r="A281" s="61" t="s">
        <v>152</v>
      </c>
      <c r="B281" s="9">
        <v>53</v>
      </c>
      <c r="C281" s="9">
        <v>72</v>
      </c>
      <c r="D281" s="21" t="s">
        <v>37</v>
      </c>
      <c r="E281" s="9">
        <v>6</v>
      </c>
      <c r="F281" s="9" t="s">
        <v>36</v>
      </c>
      <c r="G281" s="9"/>
      <c r="H281" s="88"/>
    </row>
    <row r="282" spans="1:8" ht="14.7" thickBot="1" x14ac:dyDescent="0.6">
      <c r="A282" s="94" t="s">
        <v>153</v>
      </c>
      <c r="B282" s="14">
        <v>53</v>
      </c>
      <c r="C282" s="14">
        <v>70</v>
      </c>
      <c r="D282" s="23" t="s">
        <v>37</v>
      </c>
      <c r="E282" s="14">
        <v>6</v>
      </c>
      <c r="F282" s="14" t="s">
        <v>36</v>
      </c>
      <c r="G282" s="14">
        <v>507</v>
      </c>
      <c r="H282" s="14">
        <f>Tabla269957[[#This Row],[Total cluster weight (g)]]/COUNTA(A279:A282)</f>
        <v>126.75</v>
      </c>
    </row>
    <row r="283" spans="1:8" x14ac:dyDescent="0.55000000000000004">
      <c r="A283" s="61" t="s">
        <v>158</v>
      </c>
      <c r="B283" s="9">
        <v>52</v>
      </c>
      <c r="C283" s="9">
        <v>64</v>
      </c>
      <c r="D283" s="21" t="s">
        <v>37</v>
      </c>
      <c r="E283" s="9">
        <v>7</v>
      </c>
      <c r="F283" s="9" t="s">
        <v>35</v>
      </c>
      <c r="G283" s="9"/>
      <c r="H283" s="88"/>
    </row>
    <row r="284" spans="1:8" x14ac:dyDescent="0.55000000000000004">
      <c r="A284" s="61" t="s">
        <v>215</v>
      </c>
      <c r="B284" s="9">
        <v>52</v>
      </c>
      <c r="C284" s="9">
        <v>66</v>
      </c>
      <c r="D284" s="21" t="s">
        <v>37</v>
      </c>
      <c r="E284" s="9">
        <v>7</v>
      </c>
      <c r="F284" s="9" t="s">
        <v>36</v>
      </c>
      <c r="G284" s="9"/>
      <c r="H284" s="88"/>
    </row>
    <row r="285" spans="1:8" x14ac:dyDescent="0.55000000000000004">
      <c r="A285" s="61" t="s">
        <v>216</v>
      </c>
      <c r="B285" s="9">
        <v>55</v>
      </c>
      <c r="C285" s="9">
        <v>66</v>
      </c>
      <c r="D285" s="21" t="s">
        <v>37</v>
      </c>
      <c r="E285" s="9">
        <v>7</v>
      </c>
      <c r="F285" s="9" t="s">
        <v>36</v>
      </c>
      <c r="G285" s="9"/>
      <c r="H285" s="88"/>
    </row>
    <row r="286" spans="1:8" x14ac:dyDescent="0.55000000000000004">
      <c r="A286" s="61" t="s">
        <v>217</v>
      </c>
      <c r="B286" s="9">
        <v>53</v>
      </c>
      <c r="C286" s="9">
        <v>68</v>
      </c>
      <c r="D286" s="21" t="s">
        <v>37</v>
      </c>
      <c r="E286" s="9">
        <v>7</v>
      </c>
      <c r="F286" s="9" t="s">
        <v>36</v>
      </c>
      <c r="G286" s="9"/>
      <c r="H286" s="88"/>
    </row>
    <row r="287" spans="1:8" ht="14.7" thickBot="1" x14ac:dyDescent="0.6">
      <c r="A287" s="94" t="s">
        <v>218</v>
      </c>
      <c r="B287" s="14">
        <v>55</v>
      </c>
      <c r="C287" s="14">
        <v>77</v>
      </c>
      <c r="D287" s="23" t="s">
        <v>37</v>
      </c>
      <c r="E287" s="14">
        <v>7</v>
      </c>
      <c r="F287" s="14" t="s">
        <v>36</v>
      </c>
      <c r="G287" s="14">
        <v>642.5</v>
      </c>
      <c r="H287" s="102">
        <f>Tabla269957[[#This Row],[Total cluster weight (g)]]/COUNTA(A283:A287)</f>
        <v>128.5</v>
      </c>
    </row>
    <row r="288" spans="1:8" x14ac:dyDescent="0.55000000000000004">
      <c r="A288" s="6" t="s">
        <v>219</v>
      </c>
      <c r="B288" s="9">
        <v>52</v>
      </c>
      <c r="C288" s="9">
        <v>67</v>
      </c>
      <c r="D288" s="21" t="s">
        <v>37</v>
      </c>
      <c r="E288" s="9">
        <v>8</v>
      </c>
      <c r="F288" s="9" t="s">
        <v>35</v>
      </c>
      <c r="G288" s="9"/>
      <c r="H288" s="88"/>
    </row>
    <row r="289" spans="1:9" x14ac:dyDescent="0.55000000000000004">
      <c r="A289" s="10" t="s">
        <v>222</v>
      </c>
      <c r="B289" s="9">
        <v>54</v>
      </c>
      <c r="C289" s="9">
        <v>67</v>
      </c>
      <c r="D289" s="21" t="s">
        <v>37</v>
      </c>
      <c r="E289" s="9">
        <v>8</v>
      </c>
      <c r="F289" s="9" t="s">
        <v>36</v>
      </c>
      <c r="G289" s="9"/>
      <c r="H289" s="88"/>
    </row>
    <row r="290" spans="1:9" x14ac:dyDescent="0.55000000000000004">
      <c r="A290" s="10" t="s">
        <v>223</v>
      </c>
      <c r="B290" s="9">
        <v>55</v>
      </c>
      <c r="C290" s="9">
        <v>65</v>
      </c>
      <c r="D290" s="21" t="s">
        <v>37</v>
      </c>
      <c r="E290" s="9">
        <v>8</v>
      </c>
      <c r="F290" s="9" t="s">
        <v>36</v>
      </c>
      <c r="G290" s="9"/>
      <c r="H290" s="88"/>
    </row>
    <row r="291" spans="1:9" x14ac:dyDescent="0.55000000000000004">
      <c r="A291" s="11" t="s">
        <v>232</v>
      </c>
      <c r="B291" s="9">
        <v>55</v>
      </c>
      <c r="C291" s="9">
        <v>65</v>
      </c>
      <c r="D291" s="21" t="s">
        <v>37</v>
      </c>
      <c r="E291" s="9">
        <v>8</v>
      </c>
      <c r="F291" s="9" t="s">
        <v>36</v>
      </c>
      <c r="G291" s="9"/>
      <c r="H291" s="88"/>
    </row>
    <row r="292" spans="1:9" ht="14.7" thickBot="1" x14ac:dyDescent="0.6">
      <c r="A292" s="13" t="s">
        <v>233</v>
      </c>
      <c r="B292" s="14">
        <v>50</v>
      </c>
      <c r="C292" s="14">
        <v>58</v>
      </c>
      <c r="D292" s="23" t="s">
        <v>37</v>
      </c>
      <c r="E292" s="14">
        <v>8</v>
      </c>
      <c r="F292" s="14" t="s">
        <v>36</v>
      </c>
      <c r="G292" s="14">
        <v>604</v>
      </c>
      <c r="H292" s="102">
        <f>Tabla269957[[#This Row],[Total cluster weight (g)]]/COUNTA(A288:A292)</f>
        <v>120.8</v>
      </c>
    </row>
    <row r="293" spans="1:9" x14ac:dyDescent="0.55000000000000004">
      <c r="A293" s="29"/>
      <c r="B293" s="30"/>
      <c r="C293" s="4"/>
      <c r="D293" s="31"/>
      <c r="E293" s="4"/>
      <c r="F293" s="4"/>
      <c r="G293" s="4"/>
    </row>
    <row r="294" spans="1:9" x14ac:dyDescent="0.55000000000000004">
      <c r="A294" s="59" t="s">
        <v>184</v>
      </c>
      <c r="B294" s="55" t="s">
        <v>162</v>
      </c>
      <c r="C294" s="55" t="s">
        <v>163</v>
      </c>
      <c r="D294" s="55" t="s">
        <v>164</v>
      </c>
      <c r="E294" s="55" t="s">
        <v>165</v>
      </c>
      <c r="F294" s="56" t="s">
        <v>189</v>
      </c>
      <c r="G294" s="110" t="s">
        <v>230</v>
      </c>
    </row>
    <row r="295" spans="1:9" x14ac:dyDescent="0.55000000000000004">
      <c r="A295" s="60" t="s">
        <v>166</v>
      </c>
      <c r="B295" s="57">
        <f>AVERAGE(Tabla269957[Height (mm)])</f>
        <v>50.875</v>
      </c>
      <c r="C295" s="57">
        <f>AVERAGE(Tabla269957[Width (mm)])</f>
        <v>65.174999999999997</v>
      </c>
      <c r="D295" s="57">
        <f>MAX(Tabla269957[[Cluster number ]])</f>
        <v>8</v>
      </c>
      <c r="E295" s="57">
        <f>AVERAGE(Tabla269957[Tomato average weight per cluster])</f>
        <v>114.68333333333332</v>
      </c>
      <c r="F295" s="58">
        <f>COUNTA(Tabla269957["C6" PLANT])</f>
        <v>40</v>
      </c>
      <c r="G295" s="109">
        <f>SUM(Tabla269957[Total cluster weight (g)])</f>
        <v>4576.5</v>
      </c>
    </row>
    <row r="297" spans="1:9" ht="14.7" thickBot="1" x14ac:dyDescent="0.6">
      <c r="A297" s="5" t="s">
        <v>19</v>
      </c>
      <c r="B297" t="s">
        <v>3</v>
      </c>
      <c r="C297" t="s">
        <v>4</v>
      </c>
      <c r="D297" t="s">
        <v>5</v>
      </c>
      <c r="E297" t="s">
        <v>6</v>
      </c>
      <c r="F297" t="s">
        <v>7</v>
      </c>
      <c r="G297" t="s">
        <v>8</v>
      </c>
      <c r="H297" t="s">
        <v>161</v>
      </c>
    </row>
    <row r="298" spans="1:9" x14ac:dyDescent="0.55000000000000004">
      <c r="A298" s="6" t="s">
        <v>9</v>
      </c>
      <c r="B298" s="7">
        <v>45</v>
      </c>
      <c r="C298" s="7">
        <v>52</v>
      </c>
      <c r="D298" s="28" t="s">
        <v>37</v>
      </c>
      <c r="E298" s="9">
        <v>1</v>
      </c>
      <c r="F298" s="9" t="s">
        <v>35</v>
      </c>
      <c r="G298" s="9"/>
      <c r="H298" s="12"/>
    </row>
    <row r="299" spans="1:9" x14ac:dyDescent="0.55000000000000004">
      <c r="A299" s="8" t="s">
        <v>10</v>
      </c>
      <c r="B299" s="9">
        <v>48</v>
      </c>
      <c r="C299" s="9">
        <v>58</v>
      </c>
      <c r="D299" s="21" t="s">
        <v>37</v>
      </c>
      <c r="E299" s="9">
        <v>1</v>
      </c>
      <c r="F299" s="9" t="s">
        <v>35</v>
      </c>
      <c r="G299" s="9"/>
      <c r="H299" s="9"/>
    </row>
    <row r="300" spans="1:9" x14ac:dyDescent="0.55000000000000004">
      <c r="A300" s="10" t="s">
        <v>11</v>
      </c>
      <c r="B300" s="9">
        <v>50</v>
      </c>
      <c r="C300" s="9">
        <v>60</v>
      </c>
      <c r="D300" s="21" t="s">
        <v>37</v>
      </c>
      <c r="E300" s="9">
        <v>1</v>
      </c>
      <c r="F300" s="9" t="s">
        <v>35</v>
      </c>
      <c r="G300" s="9"/>
      <c r="H300" s="9"/>
    </row>
    <row r="301" spans="1:9" x14ac:dyDescent="0.55000000000000004">
      <c r="A301" s="11" t="s">
        <v>12</v>
      </c>
      <c r="B301" s="9">
        <v>48</v>
      </c>
      <c r="C301" s="9">
        <v>61</v>
      </c>
      <c r="D301" s="28">
        <v>98.5</v>
      </c>
      <c r="E301" s="12">
        <v>1</v>
      </c>
      <c r="F301" s="12" t="s">
        <v>36</v>
      </c>
      <c r="G301" s="9"/>
      <c r="H301" s="9"/>
      <c r="I301" t="s">
        <v>38</v>
      </c>
    </row>
    <row r="302" spans="1:9" ht="14.7" thickBot="1" x14ac:dyDescent="0.6">
      <c r="A302" s="13" t="s">
        <v>13</v>
      </c>
      <c r="B302" s="14">
        <v>48</v>
      </c>
      <c r="C302" s="14">
        <v>62</v>
      </c>
      <c r="D302" s="23">
        <v>108</v>
      </c>
      <c r="E302" s="14">
        <v>1</v>
      </c>
      <c r="F302" s="14" t="s">
        <v>36</v>
      </c>
      <c r="G302" s="14">
        <v>466.5</v>
      </c>
      <c r="H302" s="14">
        <f>Tabla2691058[[#This Row],[Total cluster weight (g)]]/COUNTA(A298:A302)</f>
        <v>93.3</v>
      </c>
      <c r="I302" t="s">
        <v>38</v>
      </c>
    </row>
    <row r="303" spans="1:9" x14ac:dyDescent="0.55000000000000004">
      <c r="A303" s="11" t="s">
        <v>41</v>
      </c>
      <c r="B303" s="12">
        <v>51</v>
      </c>
      <c r="C303" s="12">
        <v>59</v>
      </c>
      <c r="D303" s="28" t="s">
        <v>37</v>
      </c>
      <c r="E303" s="12">
        <v>2</v>
      </c>
      <c r="F303" s="12" t="s">
        <v>35</v>
      </c>
      <c r="G303" s="12"/>
      <c r="H303" s="12"/>
    </row>
    <row r="304" spans="1:9" x14ac:dyDescent="0.55000000000000004">
      <c r="A304" s="8" t="s">
        <v>42</v>
      </c>
      <c r="B304" s="9">
        <v>54</v>
      </c>
      <c r="C304" s="9">
        <v>61</v>
      </c>
      <c r="D304" s="21" t="s">
        <v>37</v>
      </c>
      <c r="E304" s="9">
        <v>2</v>
      </c>
      <c r="F304" s="9" t="s">
        <v>36</v>
      </c>
      <c r="G304" s="9"/>
      <c r="H304" s="9"/>
    </row>
    <row r="305" spans="1:9" x14ac:dyDescent="0.55000000000000004">
      <c r="A305" s="10" t="s">
        <v>43</v>
      </c>
      <c r="B305" s="9">
        <v>51</v>
      </c>
      <c r="C305" s="9">
        <v>62</v>
      </c>
      <c r="D305" s="21" t="s">
        <v>37</v>
      </c>
      <c r="E305" s="9">
        <v>2</v>
      </c>
      <c r="F305" s="9" t="s">
        <v>36</v>
      </c>
      <c r="G305" s="9"/>
      <c r="H305" s="9"/>
    </row>
    <row r="306" spans="1:9" x14ac:dyDescent="0.55000000000000004">
      <c r="A306" s="10" t="s">
        <v>47</v>
      </c>
      <c r="B306" s="9">
        <v>53</v>
      </c>
      <c r="C306" s="9">
        <v>58</v>
      </c>
      <c r="D306" s="21" t="s">
        <v>37</v>
      </c>
      <c r="E306" s="9">
        <v>2</v>
      </c>
      <c r="F306" s="9" t="s">
        <v>36</v>
      </c>
      <c r="G306" s="9"/>
      <c r="H306" s="9"/>
    </row>
    <row r="307" spans="1:9" ht="14.7" thickBot="1" x14ac:dyDescent="0.6">
      <c r="A307" s="35" t="s">
        <v>48</v>
      </c>
      <c r="B307" s="14">
        <v>52</v>
      </c>
      <c r="C307" s="14">
        <v>60</v>
      </c>
      <c r="D307" s="23" t="s">
        <v>37</v>
      </c>
      <c r="E307" s="14">
        <v>2</v>
      </c>
      <c r="F307" s="14" t="s">
        <v>36</v>
      </c>
      <c r="G307" s="14">
        <v>490.5</v>
      </c>
      <c r="H307" s="14">
        <f>Tabla2691058[[#This Row],[Total cluster weight (g)]]/COUNTA(A303:A307)</f>
        <v>98.1</v>
      </c>
    </row>
    <row r="308" spans="1:9" x14ac:dyDescent="0.55000000000000004">
      <c r="A308" s="10" t="s">
        <v>49</v>
      </c>
      <c r="B308" s="9">
        <v>38</v>
      </c>
      <c r="C308" s="9">
        <v>48</v>
      </c>
      <c r="D308" s="21" t="s">
        <v>37</v>
      </c>
      <c r="E308" s="9">
        <v>3</v>
      </c>
      <c r="F308" s="9" t="s">
        <v>60</v>
      </c>
      <c r="G308" s="9"/>
      <c r="H308" s="12"/>
      <c r="I308" t="s">
        <v>56</v>
      </c>
    </row>
    <row r="309" spans="1:9" x14ac:dyDescent="0.55000000000000004">
      <c r="A309" s="10" t="s">
        <v>50</v>
      </c>
      <c r="B309" s="9">
        <v>39</v>
      </c>
      <c r="C309" s="9">
        <v>50</v>
      </c>
      <c r="D309" s="21" t="s">
        <v>37</v>
      </c>
      <c r="E309" s="9">
        <v>3</v>
      </c>
      <c r="F309" s="9" t="s">
        <v>35</v>
      </c>
      <c r="G309" s="9"/>
      <c r="H309" s="9"/>
    </row>
    <row r="310" spans="1:9" x14ac:dyDescent="0.55000000000000004">
      <c r="A310" s="10" t="s">
        <v>51</v>
      </c>
      <c r="B310" s="9">
        <v>42</v>
      </c>
      <c r="C310" s="9">
        <v>54</v>
      </c>
      <c r="D310" s="21" t="s">
        <v>37</v>
      </c>
      <c r="E310" s="9">
        <v>3</v>
      </c>
      <c r="F310" s="9" t="s">
        <v>36</v>
      </c>
      <c r="G310" s="9"/>
      <c r="H310" s="9"/>
    </row>
    <row r="311" spans="1:9" x14ac:dyDescent="0.55000000000000004">
      <c r="A311" s="10" t="s">
        <v>52</v>
      </c>
      <c r="B311" s="9">
        <v>42</v>
      </c>
      <c r="C311" s="9">
        <v>53</v>
      </c>
      <c r="D311" s="21" t="s">
        <v>37</v>
      </c>
      <c r="E311" s="9">
        <v>3</v>
      </c>
      <c r="F311" s="9" t="s">
        <v>36</v>
      </c>
      <c r="G311" s="9"/>
      <c r="H311" s="9"/>
    </row>
    <row r="312" spans="1:9" ht="14.7" thickBot="1" x14ac:dyDescent="0.6">
      <c r="A312" s="36" t="s">
        <v>53</v>
      </c>
      <c r="B312" s="20">
        <v>44</v>
      </c>
      <c r="C312" s="14">
        <v>55</v>
      </c>
      <c r="D312" s="23" t="s">
        <v>37</v>
      </c>
      <c r="E312" s="14">
        <v>3</v>
      </c>
      <c r="F312" s="14" t="s">
        <v>36</v>
      </c>
      <c r="G312" s="14">
        <v>303</v>
      </c>
      <c r="H312" s="14">
        <f>Tabla2691058[[#This Row],[Total cluster weight (g)]]/COUNTA(A308:A312)</f>
        <v>60.6</v>
      </c>
    </row>
    <row r="313" spans="1:9" x14ac:dyDescent="0.55000000000000004">
      <c r="A313" s="6" t="s">
        <v>80</v>
      </c>
      <c r="B313" s="7">
        <v>49</v>
      </c>
      <c r="C313" s="7">
        <v>57</v>
      </c>
      <c r="D313" s="21" t="s">
        <v>37</v>
      </c>
      <c r="E313" s="9">
        <v>4</v>
      </c>
      <c r="F313" s="9" t="s">
        <v>36</v>
      </c>
      <c r="G313" s="9"/>
      <c r="H313" s="88"/>
    </row>
    <row r="314" spans="1:9" x14ac:dyDescent="0.55000000000000004">
      <c r="A314" s="8" t="s">
        <v>81</v>
      </c>
      <c r="B314" s="9">
        <v>49</v>
      </c>
      <c r="C314" s="9">
        <v>57</v>
      </c>
      <c r="D314" s="21" t="s">
        <v>37</v>
      </c>
      <c r="E314" s="9">
        <v>4</v>
      </c>
      <c r="F314" s="9" t="s">
        <v>36</v>
      </c>
      <c r="G314" s="9"/>
      <c r="H314" s="88"/>
    </row>
    <row r="315" spans="1:9" x14ac:dyDescent="0.55000000000000004">
      <c r="A315" s="10" t="s">
        <v>66</v>
      </c>
      <c r="B315" s="9">
        <v>52</v>
      </c>
      <c r="C315" s="9">
        <v>65</v>
      </c>
      <c r="D315" s="21" t="s">
        <v>37</v>
      </c>
      <c r="E315" s="9">
        <v>4</v>
      </c>
      <c r="F315" s="9" t="s">
        <v>36</v>
      </c>
      <c r="G315" s="9"/>
      <c r="H315" s="88"/>
    </row>
    <row r="316" spans="1:9" x14ac:dyDescent="0.55000000000000004">
      <c r="A316" s="11" t="s">
        <v>67</v>
      </c>
      <c r="B316" s="12">
        <v>53</v>
      </c>
      <c r="C316" s="12">
        <v>60</v>
      </c>
      <c r="D316" s="21" t="s">
        <v>37</v>
      </c>
      <c r="E316" s="9">
        <v>4</v>
      </c>
      <c r="F316" s="9" t="s">
        <v>36</v>
      </c>
      <c r="G316" s="9"/>
      <c r="H316" s="88"/>
    </row>
    <row r="317" spans="1:9" ht="14.7" thickBot="1" x14ac:dyDescent="0.6">
      <c r="A317" s="13" t="s">
        <v>71</v>
      </c>
      <c r="B317" s="14">
        <v>50</v>
      </c>
      <c r="C317" s="14">
        <v>67</v>
      </c>
      <c r="D317" s="23" t="s">
        <v>37</v>
      </c>
      <c r="E317" s="14">
        <v>4</v>
      </c>
      <c r="F317" s="14" t="s">
        <v>36</v>
      </c>
      <c r="G317" s="14">
        <v>477.5</v>
      </c>
      <c r="H317" s="14">
        <f>Tabla2691058[[#This Row],[Total cluster weight (g)]]/COUNTA(A313:A317)</f>
        <v>95.5</v>
      </c>
    </row>
    <row r="318" spans="1:9" x14ac:dyDescent="0.55000000000000004">
      <c r="A318" s="61" t="s">
        <v>89</v>
      </c>
      <c r="B318" s="9">
        <v>47</v>
      </c>
      <c r="C318" s="9">
        <v>57</v>
      </c>
      <c r="D318" s="21" t="s">
        <v>37</v>
      </c>
      <c r="E318" s="9">
        <v>5</v>
      </c>
      <c r="F318" s="9" t="s">
        <v>36</v>
      </c>
      <c r="G318" s="9"/>
      <c r="H318" s="88"/>
    </row>
    <row r="319" spans="1:9" x14ac:dyDescent="0.55000000000000004">
      <c r="A319" s="61" t="s">
        <v>92</v>
      </c>
      <c r="B319" s="9">
        <v>48</v>
      </c>
      <c r="C319" s="9">
        <v>60</v>
      </c>
      <c r="D319" s="21" t="s">
        <v>37</v>
      </c>
      <c r="E319" s="9">
        <v>5</v>
      </c>
      <c r="F319" s="9" t="s">
        <v>36</v>
      </c>
      <c r="G319" s="9"/>
      <c r="H319" s="88"/>
    </row>
    <row r="320" spans="1:9" x14ac:dyDescent="0.55000000000000004">
      <c r="A320" s="61" t="s">
        <v>93</v>
      </c>
      <c r="B320" s="9">
        <v>51</v>
      </c>
      <c r="C320" s="9">
        <v>61</v>
      </c>
      <c r="D320" s="21" t="s">
        <v>37</v>
      </c>
      <c r="E320" s="9">
        <v>5</v>
      </c>
      <c r="F320" s="9" t="s">
        <v>36</v>
      </c>
      <c r="G320" s="9"/>
      <c r="H320" s="88"/>
    </row>
    <row r="321" spans="1:8" x14ac:dyDescent="0.55000000000000004">
      <c r="A321" s="61" t="s">
        <v>94</v>
      </c>
      <c r="B321" s="9">
        <v>52</v>
      </c>
      <c r="C321" s="9">
        <v>62</v>
      </c>
      <c r="D321" s="21" t="s">
        <v>37</v>
      </c>
      <c r="E321" s="9">
        <v>5</v>
      </c>
      <c r="F321" s="9" t="s">
        <v>36</v>
      </c>
      <c r="G321" s="9"/>
      <c r="H321" s="88"/>
    </row>
    <row r="322" spans="1:8" ht="14.7" thickBot="1" x14ac:dyDescent="0.6">
      <c r="A322" s="94" t="s">
        <v>95</v>
      </c>
      <c r="B322" s="14">
        <v>53</v>
      </c>
      <c r="C322" s="14">
        <v>64</v>
      </c>
      <c r="D322" s="23" t="s">
        <v>37</v>
      </c>
      <c r="E322" s="14">
        <v>5</v>
      </c>
      <c r="F322" s="14" t="s">
        <v>36</v>
      </c>
      <c r="G322" s="14">
        <v>514.5</v>
      </c>
      <c r="H322" s="102">
        <f>Tabla2691058[[#This Row],[Total cluster weight (g)]]/COUNTA(A318:A322)</f>
        <v>102.9</v>
      </c>
    </row>
    <row r="323" spans="1:8" x14ac:dyDescent="0.55000000000000004">
      <c r="A323" s="61" t="s">
        <v>144</v>
      </c>
      <c r="B323" s="9">
        <v>51</v>
      </c>
      <c r="C323" s="9">
        <v>63</v>
      </c>
      <c r="D323" s="21" t="s">
        <v>37</v>
      </c>
      <c r="E323" s="9">
        <v>6</v>
      </c>
      <c r="F323" s="9" t="s">
        <v>36</v>
      </c>
      <c r="G323" s="9"/>
      <c r="H323" s="88"/>
    </row>
    <row r="324" spans="1:8" x14ac:dyDescent="0.55000000000000004">
      <c r="A324" s="61" t="s">
        <v>150</v>
      </c>
      <c r="B324" s="9">
        <v>53</v>
      </c>
      <c r="C324" s="9">
        <v>62</v>
      </c>
      <c r="D324" s="21" t="s">
        <v>37</v>
      </c>
      <c r="E324" s="9">
        <v>6</v>
      </c>
      <c r="F324" s="9" t="s">
        <v>36</v>
      </c>
      <c r="G324" s="9"/>
      <c r="H324" s="88"/>
    </row>
    <row r="325" spans="1:8" x14ac:dyDescent="0.55000000000000004">
      <c r="A325" s="61" t="s">
        <v>151</v>
      </c>
      <c r="B325" s="9">
        <v>52</v>
      </c>
      <c r="C325" s="9">
        <v>60</v>
      </c>
      <c r="D325" s="21" t="s">
        <v>37</v>
      </c>
      <c r="E325" s="9">
        <v>6</v>
      </c>
      <c r="F325" s="9" t="s">
        <v>36</v>
      </c>
      <c r="G325" s="9"/>
      <c r="H325" s="88"/>
    </row>
    <row r="326" spans="1:8" x14ac:dyDescent="0.55000000000000004">
      <c r="A326" s="61" t="s">
        <v>152</v>
      </c>
      <c r="B326" s="9">
        <v>52</v>
      </c>
      <c r="C326" s="9">
        <v>63</v>
      </c>
      <c r="D326" s="21" t="s">
        <v>37</v>
      </c>
      <c r="E326" s="9">
        <v>6</v>
      </c>
      <c r="F326" s="9" t="s">
        <v>36</v>
      </c>
      <c r="G326" s="9"/>
      <c r="H326" s="88"/>
    </row>
    <row r="327" spans="1:8" ht="14.7" thickBot="1" x14ac:dyDescent="0.6">
      <c r="A327" s="94" t="s">
        <v>153</v>
      </c>
      <c r="B327" s="14">
        <v>55</v>
      </c>
      <c r="C327" s="14">
        <v>68</v>
      </c>
      <c r="D327" s="23" t="s">
        <v>37</v>
      </c>
      <c r="E327" s="14">
        <v>6</v>
      </c>
      <c r="F327" s="14" t="s">
        <v>36</v>
      </c>
      <c r="G327" s="14">
        <v>583</v>
      </c>
      <c r="H327" s="102">
        <f>Tabla2691058[[#This Row],[Total cluster weight (g)]]/COUNTA(A323:A327)</f>
        <v>116.6</v>
      </c>
    </row>
    <row r="328" spans="1:8" x14ac:dyDescent="0.55000000000000004">
      <c r="A328" s="61" t="s">
        <v>158</v>
      </c>
      <c r="B328" s="12">
        <v>50</v>
      </c>
      <c r="C328" s="12">
        <v>59</v>
      </c>
      <c r="D328" s="28" t="s">
        <v>37</v>
      </c>
      <c r="E328" s="12">
        <v>7</v>
      </c>
      <c r="F328" s="12" t="s">
        <v>35</v>
      </c>
      <c r="G328" s="12"/>
      <c r="H328" s="93"/>
    </row>
    <row r="329" spans="1:8" x14ac:dyDescent="0.55000000000000004">
      <c r="A329" s="61" t="s">
        <v>215</v>
      </c>
      <c r="B329" s="9">
        <v>50</v>
      </c>
      <c r="C329" s="9">
        <v>58</v>
      </c>
      <c r="D329" s="21" t="s">
        <v>37</v>
      </c>
      <c r="E329" s="9">
        <v>7</v>
      </c>
      <c r="F329" s="9" t="s">
        <v>35</v>
      </c>
      <c r="G329" s="9"/>
      <c r="H329" s="88"/>
    </row>
    <row r="330" spans="1:8" x14ac:dyDescent="0.55000000000000004">
      <c r="A330" s="61" t="s">
        <v>216</v>
      </c>
      <c r="B330" s="9">
        <v>49</v>
      </c>
      <c r="C330" s="9">
        <v>60</v>
      </c>
      <c r="D330" s="21" t="s">
        <v>37</v>
      </c>
      <c r="E330" s="9">
        <v>7</v>
      </c>
      <c r="F330" s="9" t="s">
        <v>35</v>
      </c>
      <c r="G330" s="9"/>
      <c r="H330" s="88"/>
    </row>
    <row r="331" spans="1:8" x14ac:dyDescent="0.55000000000000004">
      <c r="A331" s="61" t="s">
        <v>217</v>
      </c>
      <c r="B331" s="9">
        <v>47</v>
      </c>
      <c r="C331" s="9">
        <v>58</v>
      </c>
      <c r="D331" s="21" t="s">
        <v>37</v>
      </c>
      <c r="E331" s="9">
        <v>7</v>
      </c>
      <c r="F331" s="9" t="s">
        <v>36</v>
      </c>
      <c r="G331" s="9"/>
      <c r="H331" s="88"/>
    </row>
    <row r="332" spans="1:8" ht="14.7" thickBot="1" x14ac:dyDescent="0.6">
      <c r="A332" s="94" t="s">
        <v>218</v>
      </c>
      <c r="B332" s="14">
        <v>52</v>
      </c>
      <c r="C332" s="14">
        <v>62</v>
      </c>
      <c r="D332" s="23" t="s">
        <v>37</v>
      </c>
      <c r="E332" s="14">
        <v>7</v>
      </c>
      <c r="F332" s="14" t="s">
        <v>36</v>
      </c>
      <c r="G332" s="14">
        <v>484.5</v>
      </c>
      <c r="H332" s="102">
        <f>Tabla2691058[[#This Row],[Total cluster weight (g)]]/COUNTA(A328:A332)</f>
        <v>96.9</v>
      </c>
    </row>
    <row r="333" spans="1:8" x14ac:dyDescent="0.55000000000000004">
      <c r="A333" s="29"/>
      <c r="B333" s="30"/>
      <c r="C333" s="43"/>
      <c r="D333" s="31"/>
      <c r="E333" s="4"/>
      <c r="F333" s="4"/>
      <c r="G333" s="4"/>
    </row>
    <row r="334" spans="1:8" x14ac:dyDescent="0.55000000000000004">
      <c r="A334" s="59" t="s">
        <v>183</v>
      </c>
      <c r="B334" s="55" t="s">
        <v>162</v>
      </c>
      <c r="C334" s="55" t="s">
        <v>163</v>
      </c>
      <c r="D334" s="55" t="s">
        <v>164</v>
      </c>
      <c r="E334" s="55" t="s">
        <v>165</v>
      </c>
      <c r="F334" s="56" t="s">
        <v>189</v>
      </c>
      <c r="G334" s="110" t="s">
        <v>230</v>
      </c>
    </row>
    <row r="335" spans="1:8" x14ac:dyDescent="0.55000000000000004">
      <c r="A335" s="60" t="s">
        <v>166</v>
      </c>
      <c r="B335" s="57">
        <f>AVERAGE(Tabla2691058[Height (mm)])</f>
        <v>49.142857142857146</v>
      </c>
      <c r="C335" s="57">
        <f>AVERAGE(Tabla2691058[Width (mm)])</f>
        <v>59.314285714285717</v>
      </c>
      <c r="D335" s="57">
        <f>MAX(Tabla2691058[[Cluster number ]])</f>
        <v>7</v>
      </c>
      <c r="E335" s="57">
        <f>AVERAGE(Tabla2691058[Tomato average weight per cluster])</f>
        <v>94.842857142857142</v>
      </c>
      <c r="F335" s="58">
        <f>COUNTA(Tabla2691058["C7" PLANT])</f>
        <v>35</v>
      </c>
      <c r="G335" s="109">
        <f>SUM(Tabla2691058[Total cluster weight (g)])</f>
        <v>3319.5</v>
      </c>
    </row>
    <row r="337" spans="1:9" ht="14.7" thickBot="1" x14ac:dyDescent="0.6">
      <c r="A337" s="5" t="s">
        <v>20</v>
      </c>
      <c r="B337" t="s">
        <v>3</v>
      </c>
      <c r="C337" t="s">
        <v>4</v>
      </c>
      <c r="D337" t="s">
        <v>5</v>
      </c>
      <c r="E337" t="s">
        <v>6</v>
      </c>
      <c r="F337" t="s">
        <v>7</v>
      </c>
      <c r="G337" t="s">
        <v>8</v>
      </c>
      <c r="H337" s="52" t="s">
        <v>161</v>
      </c>
    </row>
    <row r="338" spans="1:9" x14ac:dyDescent="0.55000000000000004">
      <c r="A338" s="6" t="s">
        <v>9</v>
      </c>
      <c r="B338" s="9">
        <v>53</v>
      </c>
      <c r="C338" s="9">
        <v>64</v>
      </c>
      <c r="D338" s="21" t="s">
        <v>37</v>
      </c>
      <c r="E338" s="9">
        <v>1</v>
      </c>
      <c r="F338" s="9" t="s">
        <v>35</v>
      </c>
      <c r="G338" s="9"/>
      <c r="H338" s="53"/>
    </row>
    <row r="339" spans="1:9" x14ac:dyDescent="0.55000000000000004">
      <c r="A339" s="8" t="s">
        <v>10</v>
      </c>
      <c r="B339" s="9">
        <v>56</v>
      </c>
      <c r="C339" s="9">
        <v>70</v>
      </c>
      <c r="D339" s="21" t="s">
        <v>37</v>
      </c>
      <c r="E339" s="9">
        <v>1</v>
      </c>
      <c r="F339" s="9" t="s">
        <v>36</v>
      </c>
      <c r="G339" s="9"/>
      <c r="H339" s="16"/>
    </row>
    <row r="340" spans="1:9" x14ac:dyDescent="0.55000000000000004">
      <c r="A340" s="10" t="s">
        <v>11</v>
      </c>
      <c r="B340" s="9">
        <v>53</v>
      </c>
      <c r="C340" s="9">
        <v>62</v>
      </c>
      <c r="D340" s="21" t="s">
        <v>37</v>
      </c>
      <c r="E340" s="9">
        <v>1</v>
      </c>
      <c r="F340" s="9" t="s">
        <v>36</v>
      </c>
      <c r="G340" s="9"/>
      <c r="H340" s="18"/>
    </row>
    <row r="341" spans="1:9" ht="14.7" thickBot="1" x14ac:dyDescent="0.6">
      <c r="A341" s="11" t="s">
        <v>12</v>
      </c>
      <c r="B341" s="14">
        <v>53</v>
      </c>
      <c r="C341" s="14">
        <v>68</v>
      </c>
      <c r="D341" s="23" t="s">
        <v>37</v>
      </c>
      <c r="E341" s="14">
        <v>1</v>
      </c>
      <c r="F341" s="14" t="s">
        <v>36</v>
      </c>
      <c r="G341" s="14">
        <v>521</v>
      </c>
      <c r="H341" s="27">
        <f>Tabla2691159[[#This Row],[Total cluster weight (g)]]/COUNTA(A338:A341)</f>
        <v>130.25</v>
      </c>
    </row>
    <row r="342" spans="1:9" x14ac:dyDescent="0.55000000000000004">
      <c r="A342" s="6" t="s">
        <v>13</v>
      </c>
      <c r="B342" s="7">
        <v>52</v>
      </c>
      <c r="C342" s="7">
        <v>62</v>
      </c>
      <c r="D342" s="28" t="s">
        <v>37</v>
      </c>
      <c r="E342" s="9">
        <v>2</v>
      </c>
      <c r="F342" s="9" t="s">
        <v>35</v>
      </c>
      <c r="G342" s="9"/>
      <c r="H342" s="64"/>
    </row>
    <row r="343" spans="1:9" x14ac:dyDescent="0.55000000000000004">
      <c r="A343" s="10" t="s">
        <v>41</v>
      </c>
      <c r="B343" s="9">
        <v>54</v>
      </c>
      <c r="C343" s="9">
        <v>63</v>
      </c>
      <c r="D343" s="28" t="s">
        <v>37</v>
      </c>
      <c r="E343" s="9">
        <v>2</v>
      </c>
      <c r="F343" s="12" t="s">
        <v>36</v>
      </c>
      <c r="G343" s="9"/>
      <c r="H343" s="16"/>
    </row>
    <row r="344" spans="1:9" x14ac:dyDescent="0.55000000000000004">
      <c r="A344" s="10" t="s">
        <v>42</v>
      </c>
      <c r="B344" s="9">
        <v>55</v>
      </c>
      <c r="C344" s="9">
        <v>68</v>
      </c>
      <c r="D344" s="28" t="s">
        <v>37</v>
      </c>
      <c r="E344" s="9">
        <v>2</v>
      </c>
      <c r="F344" s="12" t="s">
        <v>36</v>
      </c>
      <c r="G344" s="9"/>
      <c r="H344" s="18"/>
    </row>
    <row r="345" spans="1:9" x14ac:dyDescent="0.55000000000000004">
      <c r="A345" s="34" t="s">
        <v>43</v>
      </c>
      <c r="B345" s="12">
        <v>58</v>
      </c>
      <c r="C345" s="12">
        <v>68</v>
      </c>
      <c r="D345" s="28" t="s">
        <v>37</v>
      </c>
      <c r="E345" s="12">
        <v>2</v>
      </c>
      <c r="F345" s="12" t="s">
        <v>36</v>
      </c>
      <c r="G345" s="9"/>
      <c r="H345" s="16"/>
    </row>
    <row r="346" spans="1:9" ht="14.7" thickBot="1" x14ac:dyDescent="0.6">
      <c r="A346" s="35" t="s">
        <v>47</v>
      </c>
      <c r="B346" s="14">
        <v>57</v>
      </c>
      <c r="C346" s="14">
        <v>60</v>
      </c>
      <c r="D346" s="23" t="s">
        <v>37</v>
      </c>
      <c r="E346" s="14">
        <v>2</v>
      </c>
      <c r="F346" s="14" t="s">
        <v>36</v>
      </c>
      <c r="G346" s="14">
        <v>664</v>
      </c>
      <c r="H346" s="27">
        <f>Tabla2691159[[#This Row],[Total cluster weight (g)]]/COUNTA(A342:A346)</f>
        <v>132.80000000000001</v>
      </c>
    </row>
    <row r="347" spans="1:9" x14ac:dyDescent="0.55000000000000004">
      <c r="A347" s="6" t="s">
        <v>48</v>
      </c>
      <c r="B347" s="7">
        <v>53</v>
      </c>
      <c r="C347" s="7">
        <v>64</v>
      </c>
      <c r="D347" s="21" t="s">
        <v>37</v>
      </c>
      <c r="E347" s="9">
        <v>3</v>
      </c>
      <c r="F347" s="9" t="s">
        <v>35</v>
      </c>
      <c r="G347" s="9"/>
      <c r="H347" s="65"/>
    </row>
    <row r="348" spans="1:9" x14ac:dyDescent="0.55000000000000004">
      <c r="A348" s="8" t="s">
        <v>49</v>
      </c>
      <c r="B348" s="9">
        <v>54</v>
      </c>
      <c r="C348" s="9">
        <v>66</v>
      </c>
      <c r="D348" s="21" t="s">
        <v>37</v>
      </c>
      <c r="E348" s="9">
        <v>3</v>
      </c>
      <c r="F348" s="9" t="s">
        <v>36</v>
      </c>
      <c r="G348" s="9"/>
      <c r="H348" s="18"/>
    </row>
    <row r="349" spans="1:9" x14ac:dyDescent="0.55000000000000004">
      <c r="A349" s="10" t="s">
        <v>50</v>
      </c>
      <c r="B349" s="9">
        <v>57</v>
      </c>
      <c r="C349" s="9">
        <v>70</v>
      </c>
      <c r="D349" s="21" t="s">
        <v>37</v>
      </c>
      <c r="E349" s="9">
        <v>3</v>
      </c>
      <c r="F349" s="9" t="s">
        <v>36</v>
      </c>
      <c r="G349" s="9"/>
      <c r="H349" s="16"/>
    </row>
    <row r="350" spans="1:9" x14ac:dyDescent="0.55000000000000004">
      <c r="A350" s="11" t="s">
        <v>51</v>
      </c>
      <c r="B350" s="12">
        <v>56</v>
      </c>
      <c r="C350" s="12">
        <v>67</v>
      </c>
      <c r="D350" s="21" t="s">
        <v>37</v>
      </c>
      <c r="E350" s="9">
        <v>3</v>
      </c>
      <c r="F350" s="9" t="s">
        <v>36</v>
      </c>
      <c r="G350" s="9"/>
      <c r="H350" s="18"/>
    </row>
    <row r="351" spans="1:9" ht="14.7" thickBot="1" x14ac:dyDescent="0.6">
      <c r="A351" s="13" t="s">
        <v>52</v>
      </c>
      <c r="B351" s="14">
        <v>56</v>
      </c>
      <c r="C351" s="14">
        <v>70</v>
      </c>
      <c r="D351" s="23" t="s">
        <v>37</v>
      </c>
      <c r="E351" s="14">
        <v>3</v>
      </c>
      <c r="F351" s="14" t="s">
        <v>36</v>
      </c>
      <c r="G351" s="14">
        <v>689.5</v>
      </c>
      <c r="H351" s="27">
        <f>Tabla2691159[[#This Row],[Total cluster weight (g)]]/COUNTA(A347:A351)</f>
        <v>137.9</v>
      </c>
    </row>
    <row r="352" spans="1:9" x14ac:dyDescent="0.55000000000000004">
      <c r="A352" s="6" t="s">
        <v>63</v>
      </c>
      <c r="B352" s="7">
        <v>46</v>
      </c>
      <c r="C352" s="7">
        <v>59</v>
      </c>
      <c r="D352" s="21" t="s">
        <v>37</v>
      </c>
      <c r="E352" s="9">
        <v>4</v>
      </c>
      <c r="F352" s="9" t="s">
        <v>61</v>
      </c>
      <c r="G352" s="9"/>
      <c r="H352" s="64"/>
      <c r="I352" t="s">
        <v>56</v>
      </c>
    </row>
    <row r="353" spans="1:8" x14ac:dyDescent="0.55000000000000004">
      <c r="A353" s="8" t="s">
        <v>64</v>
      </c>
      <c r="B353" s="9">
        <v>45</v>
      </c>
      <c r="C353" s="9">
        <v>59</v>
      </c>
      <c r="D353" s="21" t="s">
        <v>37</v>
      </c>
      <c r="E353" s="9">
        <v>4</v>
      </c>
      <c r="F353" s="9" t="s">
        <v>35</v>
      </c>
      <c r="G353" s="9"/>
      <c r="H353" s="16"/>
    </row>
    <row r="354" spans="1:8" x14ac:dyDescent="0.55000000000000004">
      <c r="A354" s="10" t="s">
        <v>65</v>
      </c>
      <c r="B354" s="9">
        <v>47</v>
      </c>
      <c r="C354" s="9">
        <v>64</v>
      </c>
      <c r="D354" s="21" t="s">
        <v>37</v>
      </c>
      <c r="E354" s="9">
        <v>4</v>
      </c>
      <c r="F354" s="9" t="s">
        <v>35</v>
      </c>
      <c r="G354" s="9"/>
      <c r="H354" s="18"/>
    </row>
    <row r="355" spans="1:8" x14ac:dyDescent="0.55000000000000004">
      <c r="A355" s="11" t="s">
        <v>66</v>
      </c>
      <c r="B355" s="12">
        <v>51</v>
      </c>
      <c r="C355" s="12">
        <v>69</v>
      </c>
      <c r="D355" s="21" t="s">
        <v>37</v>
      </c>
      <c r="E355" s="9">
        <v>4</v>
      </c>
      <c r="F355" s="9" t="s">
        <v>36</v>
      </c>
      <c r="G355" s="9"/>
      <c r="H355" s="16"/>
    </row>
    <row r="356" spans="1:8" ht="14.7" thickBot="1" x14ac:dyDescent="0.6">
      <c r="A356" s="13" t="s">
        <v>67</v>
      </c>
      <c r="B356" s="14">
        <v>52</v>
      </c>
      <c r="C356" s="14">
        <v>66</v>
      </c>
      <c r="D356" s="23" t="s">
        <v>37</v>
      </c>
      <c r="E356" s="14">
        <v>4</v>
      </c>
      <c r="F356" s="14" t="s">
        <v>36</v>
      </c>
      <c r="G356" s="14">
        <v>527</v>
      </c>
      <c r="H356" s="27">
        <f>Tabla2691159[[#This Row],[Total cluster weight (g)]]/COUNTA(A352:A356)</f>
        <v>105.4</v>
      </c>
    </row>
    <row r="357" spans="1:8" x14ac:dyDescent="0.55000000000000004">
      <c r="A357" s="11" t="s">
        <v>71</v>
      </c>
      <c r="B357" s="12">
        <v>54</v>
      </c>
      <c r="C357" s="12">
        <v>66</v>
      </c>
      <c r="D357" s="28" t="s">
        <v>37</v>
      </c>
      <c r="E357" s="12">
        <v>5</v>
      </c>
      <c r="F357" s="12" t="s">
        <v>35</v>
      </c>
      <c r="G357" s="12"/>
      <c r="H357" s="68"/>
    </row>
    <row r="358" spans="1:8" x14ac:dyDescent="0.55000000000000004">
      <c r="A358" s="8" t="s">
        <v>89</v>
      </c>
      <c r="B358" s="9">
        <v>57</v>
      </c>
      <c r="C358" s="9">
        <v>71</v>
      </c>
      <c r="D358" s="21" t="s">
        <v>37</v>
      </c>
      <c r="E358" s="9">
        <v>5</v>
      </c>
      <c r="F358" s="9" t="s">
        <v>36</v>
      </c>
      <c r="G358" s="9"/>
      <c r="H358" s="90"/>
    </row>
    <row r="359" spans="1:8" x14ac:dyDescent="0.55000000000000004">
      <c r="A359" s="10" t="s">
        <v>92</v>
      </c>
      <c r="B359" s="9">
        <v>57</v>
      </c>
      <c r="C359" s="9">
        <v>69</v>
      </c>
      <c r="D359" s="21" t="s">
        <v>37</v>
      </c>
      <c r="E359" s="9">
        <v>5</v>
      </c>
      <c r="F359" s="9" t="s">
        <v>36</v>
      </c>
      <c r="G359" s="9"/>
      <c r="H359" s="16"/>
    </row>
    <row r="360" spans="1:8" x14ac:dyDescent="0.55000000000000004">
      <c r="A360" s="11" t="s">
        <v>93</v>
      </c>
      <c r="B360" s="12">
        <v>58</v>
      </c>
      <c r="C360" s="12">
        <v>69</v>
      </c>
      <c r="D360" s="21" t="s">
        <v>37</v>
      </c>
      <c r="E360" s="9">
        <v>5</v>
      </c>
      <c r="F360" s="9" t="s">
        <v>36</v>
      </c>
      <c r="G360" s="9"/>
      <c r="H360" s="95"/>
    </row>
    <row r="361" spans="1:8" ht="14.7" thickBot="1" x14ac:dyDescent="0.6">
      <c r="A361" s="13" t="s">
        <v>94</v>
      </c>
      <c r="B361" s="14">
        <v>57</v>
      </c>
      <c r="C361" s="14">
        <v>74</v>
      </c>
      <c r="D361" s="23" t="s">
        <v>37</v>
      </c>
      <c r="E361" s="14">
        <v>5</v>
      </c>
      <c r="F361" s="14" t="s">
        <v>36</v>
      </c>
      <c r="G361" s="14">
        <v>749</v>
      </c>
      <c r="H361" s="27">
        <f>Tabla2691159[[#This Row],[Total cluster weight (g)]]/COUNTA(A357:A361)</f>
        <v>149.80000000000001</v>
      </c>
    </row>
    <row r="362" spans="1:8" x14ac:dyDescent="0.55000000000000004">
      <c r="A362" s="6" t="s">
        <v>95</v>
      </c>
      <c r="B362" s="7">
        <v>51</v>
      </c>
      <c r="C362" s="7">
        <v>62</v>
      </c>
      <c r="D362" s="21" t="s">
        <v>37</v>
      </c>
      <c r="E362" s="9">
        <v>6</v>
      </c>
      <c r="F362" s="9" t="s">
        <v>35</v>
      </c>
      <c r="G362" s="9"/>
      <c r="H362" s="90"/>
    </row>
    <row r="363" spans="1:8" x14ac:dyDescent="0.55000000000000004">
      <c r="A363" s="8" t="s">
        <v>144</v>
      </c>
      <c r="B363" s="9">
        <v>51</v>
      </c>
      <c r="C363" s="9">
        <v>63</v>
      </c>
      <c r="D363" s="21" t="s">
        <v>37</v>
      </c>
      <c r="E363" s="9">
        <v>6</v>
      </c>
      <c r="F363" s="9" t="s">
        <v>36</v>
      </c>
      <c r="G363" s="9"/>
      <c r="H363" s="16"/>
    </row>
    <row r="364" spans="1:8" x14ac:dyDescent="0.55000000000000004">
      <c r="A364" s="10" t="s">
        <v>150</v>
      </c>
      <c r="B364" s="9">
        <v>52</v>
      </c>
      <c r="C364" s="9">
        <v>64</v>
      </c>
      <c r="D364" s="21" t="s">
        <v>37</v>
      </c>
      <c r="E364" s="9">
        <v>6</v>
      </c>
      <c r="F364" s="9" t="s">
        <v>36</v>
      </c>
      <c r="G364" s="9"/>
      <c r="H364" s="95"/>
    </row>
    <row r="365" spans="1:8" x14ac:dyDescent="0.55000000000000004">
      <c r="A365" s="11" t="s">
        <v>151</v>
      </c>
      <c r="B365" s="12">
        <v>54</v>
      </c>
      <c r="C365" s="12">
        <v>67</v>
      </c>
      <c r="D365" s="21" t="s">
        <v>37</v>
      </c>
      <c r="E365" s="9">
        <v>6</v>
      </c>
      <c r="F365" s="9" t="s">
        <v>36</v>
      </c>
      <c r="G365" s="9"/>
      <c r="H365" s="16"/>
    </row>
    <row r="366" spans="1:8" ht="14.7" thickBot="1" x14ac:dyDescent="0.6">
      <c r="A366" s="13" t="s">
        <v>152</v>
      </c>
      <c r="B366" s="14">
        <v>52</v>
      </c>
      <c r="C366" s="14">
        <v>70</v>
      </c>
      <c r="D366" s="23" t="s">
        <v>37</v>
      </c>
      <c r="E366" s="14">
        <v>6</v>
      </c>
      <c r="F366" s="14" t="s">
        <v>36</v>
      </c>
      <c r="G366" s="14">
        <v>601.5</v>
      </c>
      <c r="H366" s="72">
        <f>Tabla2691159[[#This Row],[Total cluster weight (g)]]/COUNTA(A362:A366)</f>
        <v>120.3</v>
      </c>
    </row>
    <row r="367" spans="1:8" x14ac:dyDescent="0.55000000000000004">
      <c r="A367" s="61" t="s">
        <v>153</v>
      </c>
      <c r="B367" s="114">
        <v>56</v>
      </c>
      <c r="C367" s="41">
        <v>69</v>
      </c>
      <c r="D367" s="42" t="s">
        <v>37</v>
      </c>
      <c r="E367" s="41">
        <v>7</v>
      </c>
      <c r="F367" s="20" t="s">
        <v>35</v>
      </c>
      <c r="G367" s="41"/>
      <c r="H367" s="41"/>
    </row>
    <row r="368" spans="1:8" x14ac:dyDescent="0.55000000000000004">
      <c r="A368" s="61" t="s">
        <v>158</v>
      </c>
      <c r="B368" s="114">
        <v>55</v>
      </c>
      <c r="C368" s="41">
        <v>66</v>
      </c>
      <c r="D368" s="42" t="s">
        <v>37</v>
      </c>
      <c r="E368" s="41">
        <v>7</v>
      </c>
      <c r="F368" s="9" t="s">
        <v>35</v>
      </c>
      <c r="G368" s="41"/>
      <c r="H368" s="90"/>
    </row>
    <row r="369" spans="1:9" x14ac:dyDescent="0.55000000000000004">
      <c r="A369" s="61" t="s">
        <v>215</v>
      </c>
      <c r="B369" s="114">
        <v>57</v>
      </c>
      <c r="C369" s="41">
        <v>70</v>
      </c>
      <c r="D369" s="42" t="s">
        <v>37</v>
      </c>
      <c r="E369" s="41">
        <v>7</v>
      </c>
      <c r="F369" s="9" t="s">
        <v>36</v>
      </c>
      <c r="G369" s="41"/>
      <c r="H369" s="41"/>
    </row>
    <row r="370" spans="1:9" x14ac:dyDescent="0.55000000000000004">
      <c r="A370" s="61" t="s">
        <v>216</v>
      </c>
      <c r="B370" s="114">
        <v>59</v>
      </c>
      <c r="C370" s="41">
        <v>70</v>
      </c>
      <c r="D370" s="42" t="s">
        <v>37</v>
      </c>
      <c r="E370" s="41">
        <v>7</v>
      </c>
      <c r="F370" s="9" t="s">
        <v>36</v>
      </c>
      <c r="G370" s="41"/>
      <c r="H370" s="90"/>
    </row>
    <row r="371" spans="1:9" ht="14.7" thickBot="1" x14ac:dyDescent="0.6">
      <c r="A371" s="94" t="s">
        <v>217</v>
      </c>
      <c r="B371" s="117">
        <v>56</v>
      </c>
      <c r="C371" s="22">
        <v>72</v>
      </c>
      <c r="D371" s="26" t="s">
        <v>37</v>
      </c>
      <c r="E371" s="22">
        <v>7</v>
      </c>
      <c r="F371" s="22" t="s">
        <v>36</v>
      </c>
      <c r="G371" s="22">
        <v>757</v>
      </c>
      <c r="H371" s="72">
        <f>Tabla2691159[[#This Row],[Total cluster weight (g)]]/COUNTA(A367:A371)</f>
        <v>151.4</v>
      </c>
    </row>
    <row r="372" spans="1:9" x14ac:dyDescent="0.55000000000000004">
      <c r="A372" s="61" t="s">
        <v>218</v>
      </c>
      <c r="B372" s="114">
        <v>53</v>
      </c>
      <c r="C372" s="41">
        <v>66</v>
      </c>
      <c r="D372" s="42" t="s">
        <v>37</v>
      </c>
      <c r="E372" s="41">
        <v>8</v>
      </c>
      <c r="F372" s="20" t="s">
        <v>35</v>
      </c>
      <c r="G372" s="41"/>
      <c r="H372" s="90"/>
    </row>
    <row r="373" spans="1:9" x14ac:dyDescent="0.55000000000000004">
      <c r="A373" s="61" t="s">
        <v>219</v>
      </c>
      <c r="B373" s="114">
        <v>54</v>
      </c>
      <c r="C373" s="41">
        <v>66</v>
      </c>
      <c r="D373" s="42" t="s">
        <v>37</v>
      </c>
      <c r="E373" s="41">
        <v>8</v>
      </c>
      <c r="F373" s="9" t="s">
        <v>36</v>
      </c>
      <c r="G373" s="41"/>
      <c r="H373" s="41"/>
    </row>
    <row r="374" spans="1:9" x14ac:dyDescent="0.55000000000000004">
      <c r="A374" s="61" t="s">
        <v>222</v>
      </c>
      <c r="B374" s="114">
        <v>54</v>
      </c>
      <c r="C374" s="41">
        <v>70</v>
      </c>
      <c r="D374" s="42" t="s">
        <v>37</v>
      </c>
      <c r="E374" s="41">
        <v>8</v>
      </c>
      <c r="F374" s="9" t="s">
        <v>36</v>
      </c>
      <c r="G374" s="41"/>
      <c r="H374" s="90"/>
    </row>
    <row r="375" spans="1:9" x14ac:dyDescent="0.55000000000000004">
      <c r="A375" s="61" t="s">
        <v>223</v>
      </c>
      <c r="B375" s="114">
        <v>56</v>
      </c>
      <c r="C375" s="41">
        <v>69</v>
      </c>
      <c r="D375" s="42" t="s">
        <v>37</v>
      </c>
      <c r="E375" s="41">
        <v>8</v>
      </c>
      <c r="F375" s="9" t="s">
        <v>36</v>
      </c>
      <c r="G375" s="41"/>
      <c r="H375" s="41"/>
    </row>
    <row r="376" spans="1:9" ht="14.7" thickBot="1" x14ac:dyDescent="0.6">
      <c r="A376" s="94" t="s">
        <v>232</v>
      </c>
      <c r="B376" s="117">
        <v>55</v>
      </c>
      <c r="C376" s="22">
        <v>72</v>
      </c>
      <c r="D376" s="26" t="s">
        <v>37</v>
      </c>
      <c r="E376" s="22">
        <v>8</v>
      </c>
      <c r="F376" s="22" t="s">
        <v>36</v>
      </c>
      <c r="G376" s="22">
        <v>727.5</v>
      </c>
      <c r="H376" s="125">
        <f>Tabla2691159[[#This Row],[Total cluster weight (g)]]/COUNTA(A372:A376)</f>
        <v>145.5</v>
      </c>
      <c r="I376" s="104"/>
    </row>
    <row r="377" spans="1:9" x14ac:dyDescent="0.55000000000000004">
      <c r="A377" s="61" t="s">
        <v>233</v>
      </c>
      <c r="B377" s="114">
        <v>48</v>
      </c>
      <c r="C377" s="41">
        <v>56</v>
      </c>
      <c r="D377" s="42" t="s">
        <v>37</v>
      </c>
      <c r="E377" s="41">
        <v>9</v>
      </c>
      <c r="F377" s="20" t="s">
        <v>61</v>
      </c>
      <c r="G377" s="41"/>
      <c r="H377" s="120"/>
      <c r="I377" s="104"/>
    </row>
    <row r="378" spans="1:9" x14ac:dyDescent="0.55000000000000004">
      <c r="A378" s="61" t="s">
        <v>234</v>
      </c>
      <c r="B378" s="114">
        <v>49</v>
      </c>
      <c r="C378" s="41">
        <v>60</v>
      </c>
      <c r="D378" s="42" t="s">
        <v>37</v>
      </c>
      <c r="E378" s="41">
        <v>9</v>
      </c>
      <c r="F378" s="9" t="s">
        <v>35</v>
      </c>
      <c r="G378" s="41"/>
      <c r="H378" s="120"/>
      <c r="I378" s="104"/>
    </row>
    <row r="379" spans="1:9" x14ac:dyDescent="0.55000000000000004">
      <c r="A379" s="61" t="s">
        <v>235</v>
      </c>
      <c r="B379" s="114">
        <v>49</v>
      </c>
      <c r="C379" s="41">
        <v>58</v>
      </c>
      <c r="D379" s="42" t="s">
        <v>37</v>
      </c>
      <c r="E379" s="41">
        <v>9</v>
      </c>
      <c r="F379" s="9" t="s">
        <v>36</v>
      </c>
      <c r="G379" s="41"/>
      <c r="H379" s="120"/>
      <c r="I379" s="104"/>
    </row>
    <row r="380" spans="1:9" x14ac:dyDescent="0.55000000000000004">
      <c r="A380" s="61" t="s">
        <v>236</v>
      </c>
      <c r="B380" s="114">
        <v>49</v>
      </c>
      <c r="C380" s="41">
        <v>63</v>
      </c>
      <c r="D380" s="42" t="s">
        <v>37</v>
      </c>
      <c r="E380" s="41">
        <v>9</v>
      </c>
      <c r="F380" s="9" t="s">
        <v>36</v>
      </c>
      <c r="G380" s="41"/>
      <c r="H380" s="120"/>
      <c r="I380" s="104"/>
    </row>
    <row r="381" spans="1:9" ht="14.7" thickBot="1" x14ac:dyDescent="0.6">
      <c r="A381" s="94" t="s">
        <v>248</v>
      </c>
      <c r="B381" s="117">
        <v>53</v>
      </c>
      <c r="C381" s="22">
        <v>64</v>
      </c>
      <c r="D381" s="26" t="s">
        <v>37</v>
      </c>
      <c r="E381" s="22">
        <v>9</v>
      </c>
      <c r="F381" s="22" t="s">
        <v>36</v>
      </c>
      <c r="G381" s="22">
        <v>499.5</v>
      </c>
      <c r="H381" s="125">
        <f>Tabla2691159[[#This Row],[Total cluster weight (g)]]/COUNTA(A377:A381)</f>
        <v>99.9</v>
      </c>
      <c r="I381" s="104"/>
    </row>
    <row r="382" spans="1:9" x14ac:dyDescent="0.55000000000000004">
      <c r="A382" s="6" t="s">
        <v>268</v>
      </c>
      <c r="B382" s="7">
        <v>52</v>
      </c>
      <c r="C382" s="7">
        <v>63</v>
      </c>
      <c r="D382" s="9" t="s">
        <v>37</v>
      </c>
      <c r="E382" s="9">
        <v>10</v>
      </c>
      <c r="F382" s="20" t="s">
        <v>68</v>
      </c>
      <c r="G382" s="9"/>
      <c r="H382" s="120"/>
      <c r="I382" t="s">
        <v>56</v>
      </c>
    </row>
    <row r="383" spans="1:9" x14ac:dyDescent="0.55000000000000004">
      <c r="A383" s="8" t="s">
        <v>269</v>
      </c>
      <c r="B383" s="9">
        <v>55</v>
      </c>
      <c r="C383" s="9">
        <v>65</v>
      </c>
      <c r="D383" s="9" t="s">
        <v>37</v>
      </c>
      <c r="E383" s="9">
        <v>10</v>
      </c>
      <c r="F383" s="9" t="s">
        <v>35</v>
      </c>
      <c r="G383" s="9"/>
      <c r="H383" s="120"/>
      <c r="I383" s="104"/>
    </row>
    <row r="384" spans="1:9" x14ac:dyDescent="0.55000000000000004">
      <c r="A384" s="10" t="s">
        <v>270</v>
      </c>
      <c r="B384" s="9">
        <v>60</v>
      </c>
      <c r="C384" s="9">
        <v>72</v>
      </c>
      <c r="D384" s="9" t="s">
        <v>37</v>
      </c>
      <c r="E384" s="9">
        <v>10</v>
      </c>
      <c r="F384" s="9" t="s">
        <v>36</v>
      </c>
      <c r="G384" s="9"/>
      <c r="H384" s="120"/>
      <c r="I384" s="104"/>
    </row>
    <row r="385" spans="1:9" x14ac:dyDescent="0.55000000000000004">
      <c r="A385" s="11" t="s">
        <v>256</v>
      </c>
      <c r="B385" s="12">
        <v>60</v>
      </c>
      <c r="C385" s="12">
        <v>73</v>
      </c>
      <c r="D385" s="9" t="s">
        <v>37</v>
      </c>
      <c r="E385" s="9">
        <v>10</v>
      </c>
      <c r="F385" s="9" t="s">
        <v>36</v>
      </c>
      <c r="G385" s="9"/>
      <c r="H385" s="120"/>
      <c r="I385" s="104"/>
    </row>
    <row r="386" spans="1:9" ht="14.7" thickBot="1" x14ac:dyDescent="0.6">
      <c r="A386" s="13" t="s">
        <v>260</v>
      </c>
      <c r="B386" s="14">
        <v>60</v>
      </c>
      <c r="C386" s="14">
        <v>71</v>
      </c>
      <c r="D386" s="14" t="s">
        <v>37</v>
      </c>
      <c r="E386" s="14">
        <v>10</v>
      </c>
      <c r="F386" s="14" t="s">
        <v>36</v>
      </c>
      <c r="G386" s="14">
        <v>768</v>
      </c>
      <c r="H386" s="125">
        <f>Tabla2691159[[#This Row],[Total cluster weight (g)]]/COUNTA(A382:A386)</f>
        <v>153.6</v>
      </c>
      <c r="I386" s="104"/>
    </row>
    <row r="387" spans="1:9" x14ac:dyDescent="0.55000000000000004">
      <c r="A387" s="29"/>
      <c r="B387" s="30"/>
      <c r="C387" s="4"/>
      <c r="D387" s="31"/>
      <c r="E387" s="4"/>
      <c r="F387" s="4"/>
      <c r="G387" s="4"/>
      <c r="H387" s="144"/>
      <c r="I387" s="104"/>
    </row>
    <row r="388" spans="1:9" x14ac:dyDescent="0.55000000000000004">
      <c r="A388" s="59" t="s">
        <v>182</v>
      </c>
      <c r="B388" s="55" t="s">
        <v>162</v>
      </c>
      <c r="C388" s="55" t="s">
        <v>163</v>
      </c>
      <c r="D388" s="55" t="s">
        <v>164</v>
      </c>
      <c r="E388" s="55" t="s">
        <v>165</v>
      </c>
      <c r="F388" s="56" t="s">
        <v>189</v>
      </c>
      <c r="G388" s="110" t="s">
        <v>230</v>
      </c>
      <c r="H388" s="104"/>
      <c r="I388" s="104"/>
    </row>
    <row r="389" spans="1:9" x14ac:dyDescent="0.55000000000000004">
      <c r="A389" s="60" t="s">
        <v>166</v>
      </c>
      <c r="B389" s="57">
        <f>AVERAGE(Tabla2691159[Height (mm)])</f>
        <v>53.897959183673471</v>
      </c>
      <c r="C389" s="57">
        <f>AVERAGE(Tabla2691159[Width (mm)])</f>
        <v>66.306122448979593</v>
      </c>
      <c r="D389" s="57">
        <f>MAX(Tabla2691159[[Cluster number ]])</f>
        <v>10</v>
      </c>
      <c r="E389" s="57">
        <f>AVERAGE(Tabla2691159[Tomato average weight per cluster])</f>
        <v>132.685</v>
      </c>
      <c r="F389" s="58">
        <f>COUNTA(Tabla2691159["C8" PLANT])</f>
        <v>49</v>
      </c>
      <c r="G389" s="109">
        <f>SUM(Tabla2691159[Total cluster weight (g)])</f>
        <v>6504</v>
      </c>
    </row>
    <row r="391" spans="1:9" ht="14.7" thickBot="1" x14ac:dyDescent="0.6">
      <c r="A391" s="5" t="s">
        <v>21</v>
      </c>
      <c r="B391" t="s">
        <v>3</v>
      </c>
      <c r="C391" t="s">
        <v>4</v>
      </c>
      <c r="D391" t="s">
        <v>5</v>
      </c>
      <c r="E391" t="s">
        <v>6</v>
      </c>
      <c r="F391" t="s">
        <v>7</v>
      </c>
      <c r="G391" t="s">
        <v>8</v>
      </c>
      <c r="H391" t="s">
        <v>161</v>
      </c>
    </row>
    <row r="392" spans="1:9" x14ac:dyDescent="0.55000000000000004">
      <c r="A392" s="6" t="s">
        <v>9</v>
      </c>
      <c r="B392" s="9">
        <v>51</v>
      </c>
      <c r="C392" s="9">
        <v>66</v>
      </c>
      <c r="D392" s="21" t="s">
        <v>37</v>
      </c>
      <c r="E392" s="9">
        <v>1</v>
      </c>
      <c r="F392" s="9" t="s">
        <v>36</v>
      </c>
      <c r="G392" s="9"/>
      <c r="H392" s="12"/>
    </row>
    <row r="393" spans="1:9" x14ac:dyDescent="0.55000000000000004">
      <c r="A393" s="8" t="s">
        <v>10</v>
      </c>
      <c r="B393" s="9">
        <v>53</v>
      </c>
      <c r="C393" s="9">
        <v>66</v>
      </c>
      <c r="D393" s="21" t="s">
        <v>37</v>
      </c>
      <c r="E393" s="9">
        <v>1</v>
      </c>
      <c r="F393" s="9" t="s">
        <v>36</v>
      </c>
      <c r="G393" s="9"/>
      <c r="H393" s="9"/>
    </row>
    <row r="394" spans="1:9" x14ac:dyDescent="0.55000000000000004">
      <c r="A394" s="10" t="s">
        <v>11</v>
      </c>
      <c r="B394" s="9">
        <v>52</v>
      </c>
      <c r="C394" s="9">
        <v>66</v>
      </c>
      <c r="D394" s="21" t="s">
        <v>37</v>
      </c>
      <c r="E394" s="9">
        <v>1</v>
      </c>
      <c r="F394" s="9" t="s">
        <v>36</v>
      </c>
      <c r="G394" s="9"/>
      <c r="H394" s="9"/>
    </row>
    <row r="395" spans="1:9" x14ac:dyDescent="0.55000000000000004">
      <c r="A395" s="11" t="s">
        <v>12</v>
      </c>
      <c r="B395" s="9">
        <v>51</v>
      </c>
      <c r="C395" s="9">
        <v>72</v>
      </c>
      <c r="D395" s="21" t="s">
        <v>37</v>
      </c>
      <c r="E395" s="9">
        <v>1</v>
      </c>
      <c r="F395" s="9" t="s">
        <v>36</v>
      </c>
      <c r="G395" s="9"/>
      <c r="H395" s="9"/>
    </row>
    <row r="396" spans="1:9" ht="14.7" thickBot="1" x14ac:dyDescent="0.6">
      <c r="A396" s="13" t="s">
        <v>13</v>
      </c>
      <c r="B396" s="22">
        <v>50</v>
      </c>
      <c r="C396" s="22">
        <v>66</v>
      </c>
      <c r="D396" s="23" t="s">
        <v>37</v>
      </c>
      <c r="E396" s="14">
        <v>1</v>
      </c>
      <c r="F396" s="14" t="s">
        <v>36</v>
      </c>
      <c r="G396" s="14">
        <v>649.5</v>
      </c>
      <c r="H396" s="14">
        <f>Tabla2691260[[#This Row],[Total cluster weight (g)]]/COUNTA(A392:A396)</f>
        <v>129.9</v>
      </c>
    </row>
    <row r="397" spans="1:9" x14ac:dyDescent="0.55000000000000004">
      <c r="A397" s="6" t="s">
        <v>41</v>
      </c>
      <c r="B397" s="9">
        <v>49</v>
      </c>
      <c r="C397" s="9">
        <v>55</v>
      </c>
      <c r="D397" s="21" t="s">
        <v>37</v>
      </c>
      <c r="E397" s="9">
        <v>2</v>
      </c>
      <c r="F397" s="9" t="s">
        <v>36</v>
      </c>
      <c r="G397" s="9"/>
      <c r="H397" s="12"/>
    </row>
    <row r="398" spans="1:9" x14ac:dyDescent="0.55000000000000004">
      <c r="A398" s="8" t="s">
        <v>42</v>
      </c>
      <c r="B398" s="9">
        <v>51</v>
      </c>
      <c r="C398" s="9">
        <v>65</v>
      </c>
      <c r="D398" s="21" t="s">
        <v>37</v>
      </c>
      <c r="E398" s="9">
        <v>2</v>
      </c>
      <c r="F398" s="9" t="s">
        <v>36</v>
      </c>
      <c r="G398" s="9"/>
      <c r="H398" s="9"/>
    </row>
    <row r="399" spans="1:9" x14ac:dyDescent="0.55000000000000004">
      <c r="A399" s="10" t="s">
        <v>43</v>
      </c>
      <c r="B399" s="9">
        <v>53</v>
      </c>
      <c r="C399" s="9">
        <v>63</v>
      </c>
      <c r="D399" s="21" t="s">
        <v>37</v>
      </c>
      <c r="E399" s="9">
        <v>2</v>
      </c>
      <c r="F399" s="9" t="s">
        <v>36</v>
      </c>
      <c r="G399" s="9"/>
      <c r="H399" s="9"/>
    </row>
    <row r="400" spans="1:9" x14ac:dyDescent="0.55000000000000004">
      <c r="A400" s="10" t="s">
        <v>47</v>
      </c>
      <c r="B400" s="9">
        <v>55</v>
      </c>
      <c r="C400" s="9">
        <v>63</v>
      </c>
      <c r="D400" s="21" t="s">
        <v>37</v>
      </c>
      <c r="E400" s="9">
        <v>2</v>
      </c>
      <c r="F400" s="9" t="s">
        <v>36</v>
      </c>
      <c r="G400" s="9"/>
      <c r="H400" s="9"/>
    </row>
    <row r="401" spans="1:9" ht="14.7" thickBot="1" x14ac:dyDescent="0.6">
      <c r="A401" s="35" t="s">
        <v>45</v>
      </c>
      <c r="B401" s="14">
        <v>52</v>
      </c>
      <c r="C401" s="14">
        <v>67</v>
      </c>
      <c r="D401" s="23">
        <v>123.5</v>
      </c>
      <c r="E401" s="14">
        <v>2</v>
      </c>
      <c r="F401" s="14" t="s">
        <v>36</v>
      </c>
      <c r="G401" s="14">
        <v>669.5</v>
      </c>
      <c r="H401" s="14">
        <f>Tabla2691260[[#This Row],[Total cluster weight (g)]]/COUNTA(A397:A401)</f>
        <v>133.9</v>
      </c>
      <c r="I401" t="s">
        <v>46</v>
      </c>
    </row>
    <row r="402" spans="1:9" x14ac:dyDescent="0.55000000000000004">
      <c r="A402" s="11" t="s">
        <v>49</v>
      </c>
      <c r="B402" s="12">
        <v>55</v>
      </c>
      <c r="C402" s="12">
        <v>66</v>
      </c>
      <c r="D402" s="28" t="s">
        <v>37</v>
      </c>
      <c r="E402" s="12">
        <v>3</v>
      </c>
      <c r="F402" s="12" t="s">
        <v>35</v>
      </c>
      <c r="G402" s="12"/>
      <c r="H402" s="12"/>
    </row>
    <row r="403" spans="1:9" x14ac:dyDescent="0.55000000000000004">
      <c r="A403" s="8" t="s">
        <v>50</v>
      </c>
      <c r="B403" s="9">
        <v>54</v>
      </c>
      <c r="C403" s="9">
        <v>64</v>
      </c>
      <c r="D403" s="21" t="s">
        <v>37</v>
      </c>
      <c r="E403" s="9">
        <v>3</v>
      </c>
      <c r="F403" s="9" t="s">
        <v>36</v>
      </c>
      <c r="G403" s="9"/>
      <c r="H403" s="9"/>
    </row>
    <row r="404" spans="1:9" x14ac:dyDescent="0.55000000000000004">
      <c r="A404" s="10" t="s">
        <v>51</v>
      </c>
      <c r="B404" s="9">
        <v>55</v>
      </c>
      <c r="C404" s="9">
        <v>68</v>
      </c>
      <c r="D404" s="21" t="s">
        <v>37</v>
      </c>
      <c r="E404" s="9">
        <v>3</v>
      </c>
      <c r="F404" s="9" t="s">
        <v>36</v>
      </c>
      <c r="G404" s="9"/>
      <c r="H404" s="9"/>
    </row>
    <row r="405" spans="1:9" x14ac:dyDescent="0.55000000000000004">
      <c r="A405" s="11" t="s">
        <v>52</v>
      </c>
      <c r="B405" s="9">
        <v>52</v>
      </c>
      <c r="C405" s="9">
        <v>65</v>
      </c>
      <c r="D405" s="21" t="s">
        <v>37</v>
      </c>
      <c r="E405" s="9">
        <v>3</v>
      </c>
      <c r="F405" s="9" t="s">
        <v>36</v>
      </c>
      <c r="G405" s="9"/>
      <c r="H405" s="9"/>
      <c r="I405" s="63"/>
    </row>
    <row r="406" spans="1:9" ht="14.7" thickBot="1" x14ac:dyDescent="0.6">
      <c r="A406" s="13" t="s">
        <v>53</v>
      </c>
      <c r="B406" s="14">
        <v>53</v>
      </c>
      <c r="C406" s="14">
        <v>66</v>
      </c>
      <c r="D406" s="23" t="s">
        <v>37</v>
      </c>
      <c r="E406" s="14">
        <v>3</v>
      </c>
      <c r="F406" s="14" t="s">
        <v>36</v>
      </c>
      <c r="G406" s="14">
        <v>604.5</v>
      </c>
      <c r="H406" s="14">
        <f>Tabla2691260[[#This Row],[Total cluster weight (g)]]/COUNTA(A402:A406)</f>
        <v>120.9</v>
      </c>
    </row>
    <row r="407" spans="1:9" x14ac:dyDescent="0.55000000000000004">
      <c r="A407" s="6" t="s">
        <v>85</v>
      </c>
      <c r="B407" s="9">
        <v>53</v>
      </c>
      <c r="C407" s="9">
        <v>65</v>
      </c>
      <c r="D407" s="21" t="s">
        <v>37</v>
      </c>
      <c r="E407" s="9">
        <v>4</v>
      </c>
      <c r="F407" s="9" t="s">
        <v>35</v>
      </c>
      <c r="G407" s="9"/>
      <c r="H407" s="12"/>
      <c r="I407" t="s">
        <v>56</v>
      </c>
    </row>
    <row r="408" spans="1:9" x14ac:dyDescent="0.55000000000000004">
      <c r="A408" s="8" t="s">
        <v>74</v>
      </c>
      <c r="B408" s="9">
        <v>51</v>
      </c>
      <c r="C408" s="9">
        <v>67</v>
      </c>
      <c r="D408" s="21" t="s">
        <v>37</v>
      </c>
      <c r="E408" s="9">
        <v>4</v>
      </c>
      <c r="F408" s="9" t="s">
        <v>35</v>
      </c>
      <c r="G408" s="9"/>
      <c r="H408" s="9"/>
    </row>
    <row r="409" spans="1:9" x14ac:dyDescent="0.55000000000000004">
      <c r="A409" s="10" t="s">
        <v>86</v>
      </c>
      <c r="B409" s="9">
        <v>54</v>
      </c>
      <c r="C409" s="9">
        <v>63</v>
      </c>
      <c r="D409" s="21" t="s">
        <v>37</v>
      </c>
      <c r="E409" s="9">
        <v>4</v>
      </c>
      <c r="F409" s="9" t="s">
        <v>36</v>
      </c>
      <c r="G409" s="9"/>
      <c r="H409" s="9"/>
    </row>
    <row r="410" spans="1:9" x14ac:dyDescent="0.55000000000000004">
      <c r="A410" s="11" t="s">
        <v>67</v>
      </c>
      <c r="B410" s="9">
        <v>52</v>
      </c>
      <c r="C410" s="9">
        <v>68</v>
      </c>
      <c r="D410" s="21" t="s">
        <v>37</v>
      </c>
      <c r="E410" s="9">
        <v>4</v>
      </c>
      <c r="F410" s="9" t="s">
        <v>36</v>
      </c>
      <c r="G410" s="9"/>
      <c r="H410" s="9"/>
    </row>
    <row r="411" spans="1:9" ht="14.7" thickBot="1" x14ac:dyDescent="0.6">
      <c r="A411" s="13" t="s">
        <v>71</v>
      </c>
      <c r="B411" s="27">
        <v>53</v>
      </c>
      <c r="C411" s="27">
        <v>66</v>
      </c>
      <c r="D411" s="23" t="s">
        <v>37</v>
      </c>
      <c r="E411" s="27">
        <v>4</v>
      </c>
      <c r="F411" s="27" t="s">
        <v>36</v>
      </c>
      <c r="G411" s="27">
        <v>603.5</v>
      </c>
      <c r="H411" s="14">
        <f>Tabla2691260[[#This Row],[Total cluster weight (g)]]/COUNTA(A407:A411)</f>
        <v>120.7</v>
      </c>
    </row>
    <row r="412" spans="1:9" x14ac:dyDescent="0.55000000000000004">
      <c r="A412" s="6" t="s">
        <v>89</v>
      </c>
      <c r="B412" s="7">
        <v>52</v>
      </c>
      <c r="C412" s="7">
        <v>63</v>
      </c>
      <c r="D412" s="21" t="s">
        <v>37</v>
      </c>
      <c r="E412" s="9">
        <v>5</v>
      </c>
      <c r="F412" s="9" t="s">
        <v>35</v>
      </c>
      <c r="G412" s="9"/>
      <c r="H412" s="88"/>
    </row>
    <row r="413" spans="1:9" x14ac:dyDescent="0.55000000000000004">
      <c r="A413" s="8" t="s">
        <v>92</v>
      </c>
      <c r="B413" s="9">
        <v>51</v>
      </c>
      <c r="C413" s="9">
        <v>65</v>
      </c>
      <c r="D413" s="21" t="s">
        <v>37</v>
      </c>
      <c r="E413" s="9">
        <v>5</v>
      </c>
      <c r="F413" s="9" t="s">
        <v>35</v>
      </c>
      <c r="G413" s="9"/>
      <c r="H413" s="88"/>
    </row>
    <row r="414" spans="1:9" x14ac:dyDescent="0.55000000000000004">
      <c r="A414" s="10" t="s">
        <v>93</v>
      </c>
      <c r="B414" s="9">
        <v>56</v>
      </c>
      <c r="C414" s="9">
        <v>67</v>
      </c>
      <c r="D414" s="21" t="s">
        <v>37</v>
      </c>
      <c r="E414" s="9">
        <v>5</v>
      </c>
      <c r="F414" s="9" t="s">
        <v>36</v>
      </c>
      <c r="G414" s="9"/>
      <c r="H414" s="88"/>
    </row>
    <row r="415" spans="1:9" x14ac:dyDescent="0.55000000000000004">
      <c r="A415" s="11" t="s">
        <v>94</v>
      </c>
      <c r="B415" s="12">
        <v>56</v>
      </c>
      <c r="C415" s="12">
        <v>62</v>
      </c>
      <c r="D415" s="21" t="s">
        <v>37</v>
      </c>
      <c r="E415" s="9">
        <v>5</v>
      </c>
      <c r="F415" s="9" t="s">
        <v>36</v>
      </c>
      <c r="G415" s="9"/>
      <c r="H415" s="88"/>
    </row>
    <row r="416" spans="1:9" ht="14.7" thickBot="1" x14ac:dyDescent="0.6">
      <c r="A416" s="13" t="s">
        <v>95</v>
      </c>
      <c r="B416" s="14">
        <v>54</v>
      </c>
      <c r="C416" s="14">
        <v>73</v>
      </c>
      <c r="D416" s="23" t="s">
        <v>37</v>
      </c>
      <c r="E416" s="14">
        <v>5</v>
      </c>
      <c r="F416" s="14" t="s">
        <v>36</v>
      </c>
      <c r="G416" s="14">
        <v>572</v>
      </c>
      <c r="H416" s="14">
        <f>Tabla2691260[[#This Row],[Total cluster weight (g)]]/COUNTA(A412:A416)</f>
        <v>114.4</v>
      </c>
    </row>
    <row r="417" spans="1:8" x14ac:dyDescent="0.55000000000000004">
      <c r="A417" s="6" t="s">
        <v>144</v>
      </c>
      <c r="B417" s="7">
        <v>53</v>
      </c>
      <c r="C417" s="7">
        <v>66</v>
      </c>
      <c r="D417" s="21" t="s">
        <v>37</v>
      </c>
      <c r="E417" s="9">
        <v>6</v>
      </c>
      <c r="F417" s="9" t="s">
        <v>35</v>
      </c>
      <c r="G417" s="9"/>
      <c r="H417" s="88"/>
    </row>
    <row r="418" spans="1:8" x14ac:dyDescent="0.55000000000000004">
      <c r="A418" s="8" t="s">
        <v>150</v>
      </c>
      <c r="B418" s="9">
        <v>53</v>
      </c>
      <c r="C418" s="9">
        <v>61</v>
      </c>
      <c r="D418" s="21" t="s">
        <v>37</v>
      </c>
      <c r="E418" s="9">
        <v>6</v>
      </c>
      <c r="F418" s="9" t="s">
        <v>36</v>
      </c>
      <c r="G418" s="9"/>
      <c r="H418" s="88"/>
    </row>
    <row r="419" spans="1:8" x14ac:dyDescent="0.55000000000000004">
      <c r="A419" s="10" t="s">
        <v>151</v>
      </c>
      <c r="B419" s="9">
        <v>54</v>
      </c>
      <c r="C419" s="9">
        <v>62</v>
      </c>
      <c r="D419" s="21" t="s">
        <v>37</v>
      </c>
      <c r="E419" s="9">
        <v>6</v>
      </c>
      <c r="F419" s="9" t="s">
        <v>36</v>
      </c>
      <c r="G419" s="9"/>
      <c r="H419" s="88"/>
    </row>
    <row r="420" spans="1:8" x14ac:dyDescent="0.55000000000000004">
      <c r="A420" s="11" t="s">
        <v>152</v>
      </c>
      <c r="B420" s="12">
        <v>55</v>
      </c>
      <c r="C420" s="12">
        <v>65</v>
      </c>
      <c r="D420" s="21" t="s">
        <v>37</v>
      </c>
      <c r="E420" s="9">
        <v>6</v>
      </c>
      <c r="F420" s="9" t="s">
        <v>36</v>
      </c>
      <c r="G420" s="9"/>
      <c r="H420" s="88"/>
    </row>
    <row r="421" spans="1:8" ht="14.7" thickBot="1" x14ac:dyDescent="0.6">
      <c r="A421" s="13" t="s">
        <v>153</v>
      </c>
      <c r="B421" s="14">
        <v>53</v>
      </c>
      <c r="C421" s="14">
        <v>65</v>
      </c>
      <c r="D421" s="23" t="s">
        <v>37</v>
      </c>
      <c r="E421" s="14">
        <v>6</v>
      </c>
      <c r="F421" s="14" t="s">
        <v>36</v>
      </c>
      <c r="G421" s="14">
        <v>602</v>
      </c>
      <c r="H421" s="14">
        <f>Tabla2691260[[#This Row],[Total cluster weight (g)]]/COUNTA(A417:A421)</f>
        <v>120.4</v>
      </c>
    </row>
    <row r="422" spans="1:8" x14ac:dyDescent="0.55000000000000004">
      <c r="A422" s="29" t="s">
        <v>158</v>
      </c>
      <c r="B422" s="9">
        <v>55</v>
      </c>
      <c r="C422" s="9">
        <v>63</v>
      </c>
      <c r="D422" s="21" t="s">
        <v>37</v>
      </c>
      <c r="E422" s="9">
        <v>7</v>
      </c>
      <c r="F422" s="9" t="s">
        <v>36</v>
      </c>
      <c r="G422" s="9"/>
      <c r="H422" s="88"/>
    </row>
    <row r="423" spans="1:8" x14ac:dyDescent="0.55000000000000004">
      <c r="A423" s="29" t="s">
        <v>215</v>
      </c>
      <c r="B423" s="9">
        <v>57</v>
      </c>
      <c r="C423" s="9">
        <v>67</v>
      </c>
      <c r="D423" s="21" t="s">
        <v>37</v>
      </c>
      <c r="E423" s="9">
        <v>7</v>
      </c>
      <c r="F423" s="9" t="s">
        <v>36</v>
      </c>
      <c r="G423" s="9"/>
      <c r="H423" s="88"/>
    </row>
    <row r="424" spans="1:8" x14ac:dyDescent="0.55000000000000004">
      <c r="A424" s="29" t="s">
        <v>216</v>
      </c>
      <c r="B424" s="9">
        <v>56</v>
      </c>
      <c r="C424" s="9">
        <v>61</v>
      </c>
      <c r="D424" s="21" t="s">
        <v>37</v>
      </c>
      <c r="E424" s="9">
        <v>7</v>
      </c>
      <c r="F424" s="9" t="s">
        <v>36</v>
      </c>
      <c r="G424" s="9"/>
      <c r="H424" s="88"/>
    </row>
    <row r="425" spans="1:8" x14ac:dyDescent="0.55000000000000004">
      <c r="A425" s="29" t="s">
        <v>217</v>
      </c>
      <c r="B425" s="9">
        <v>56</v>
      </c>
      <c r="C425" s="9">
        <v>67</v>
      </c>
      <c r="D425" s="21" t="s">
        <v>37</v>
      </c>
      <c r="E425" s="9">
        <v>7</v>
      </c>
      <c r="F425" s="9" t="s">
        <v>36</v>
      </c>
      <c r="G425" s="9"/>
      <c r="H425" s="88"/>
    </row>
    <row r="426" spans="1:8" ht="14.7" thickBot="1" x14ac:dyDescent="0.6">
      <c r="A426" s="91" t="s">
        <v>218</v>
      </c>
      <c r="B426" s="14">
        <v>55</v>
      </c>
      <c r="C426" s="14">
        <v>67</v>
      </c>
      <c r="D426" s="23" t="s">
        <v>37</v>
      </c>
      <c r="E426" s="14">
        <v>7</v>
      </c>
      <c r="F426" s="14" t="s">
        <v>36</v>
      </c>
      <c r="G426" s="14">
        <v>650</v>
      </c>
      <c r="H426" s="102">
        <f>Tabla2691260[[#This Row],[Total cluster weight (g)]]/COUNTA(A422:A426)</f>
        <v>130</v>
      </c>
    </row>
    <row r="427" spans="1:8" x14ac:dyDescent="0.55000000000000004">
      <c r="A427" s="29" t="s">
        <v>219</v>
      </c>
      <c r="B427" s="12">
        <v>55</v>
      </c>
      <c r="C427" s="12">
        <v>62</v>
      </c>
      <c r="D427" s="28" t="s">
        <v>37</v>
      </c>
      <c r="E427" s="12">
        <v>8</v>
      </c>
      <c r="F427" s="12" t="s">
        <v>35</v>
      </c>
      <c r="G427" s="12"/>
      <c r="H427" s="93"/>
    </row>
    <row r="428" spans="1:8" x14ac:dyDescent="0.55000000000000004">
      <c r="A428" s="29" t="s">
        <v>222</v>
      </c>
      <c r="B428" s="9">
        <v>54</v>
      </c>
      <c r="C428" s="9">
        <v>64</v>
      </c>
      <c r="D428" s="21" t="s">
        <v>37</v>
      </c>
      <c r="E428" s="9">
        <v>8</v>
      </c>
      <c r="F428" s="9" t="s">
        <v>35</v>
      </c>
      <c r="G428" s="9"/>
      <c r="H428" s="88"/>
    </row>
    <row r="429" spans="1:8" x14ac:dyDescent="0.55000000000000004">
      <c r="A429" s="29" t="s">
        <v>223</v>
      </c>
      <c r="B429" s="9">
        <v>55</v>
      </c>
      <c r="C429" s="9">
        <v>64</v>
      </c>
      <c r="D429" s="21" t="s">
        <v>37</v>
      </c>
      <c r="E429" s="9">
        <v>8</v>
      </c>
      <c r="F429" s="9" t="s">
        <v>36</v>
      </c>
      <c r="G429" s="9"/>
      <c r="H429" s="88"/>
    </row>
    <row r="430" spans="1:8" x14ac:dyDescent="0.55000000000000004">
      <c r="A430" s="29" t="s">
        <v>232</v>
      </c>
      <c r="B430" s="9">
        <v>54</v>
      </c>
      <c r="C430" s="9">
        <v>64</v>
      </c>
      <c r="D430" s="21" t="s">
        <v>37</v>
      </c>
      <c r="E430" s="9">
        <v>8</v>
      </c>
      <c r="F430" s="9" t="s">
        <v>36</v>
      </c>
      <c r="G430" s="9"/>
      <c r="H430" s="88"/>
    </row>
    <row r="431" spans="1:8" ht="14.7" thickBot="1" x14ac:dyDescent="0.6">
      <c r="A431" s="91" t="s">
        <v>233</v>
      </c>
      <c r="B431" s="14">
        <v>57</v>
      </c>
      <c r="C431" s="14">
        <v>71</v>
      </c>
      <c r="D431" s="23" t="s">
        <v>37</v>
      </c>
      <c r="E431" s="14">
        <v>8</v>
      </c>
      <c r="F431" s="14" t="s">
        <v>36</v>
      </c>
      <c r="G431" s="14">
        <v>651</v>
      </c>
      <c r="H431" s="102">
        <f>Tabla2691260[[#This Row],[Total cluster weight (g)]]/COUNTA(A427:A431)</f>
        <v>130.19999999999999</v>
      </c>
    </row>
    <row r="432" spans="1:8" x14ac:dyDescent="0.55000000000000004">
      <c r="A432" s="29" t="s">
        <v>234</v>
      </c>
      <c r="B432" s="9">
        <v>59</v>
      </c>
      <c r="C432" s="9">
        <v>67</v>
      </c>
      <c r="D432" s="21" t="s">
        <v>37</v>
      </c>
      <c r="E432" s="9">
        <v>9</v>
      </c>
      <c r="F432" s="9" t="s">
        <v>35</v>
      </c>
      <c r="G432" s="9"/>
      <c r="H432" s="88"/>
    </row>
    <row r="433" spans="1:9" x14ac:dyDescent="0.55000000000000004">
      <c r="A433" s="29" t="s">
        <v>235</v>
      </c>
      <c r="B433" s="9">
        <v>58</v>
      </c>
      <c r="C433" s="9">
        <v>68</v>
      </c>
      <c r="D433" s="21" t="s">
        <v>37</v>
      </c>
      <c r="E433" s="9">
        <v>9</v>
      </c>
      <c r="F433" s="9" t="s">
        <v>35</v>
      </c>
      <c r="G433" s="9"/>
      <c r="H433" s="88"/>
    </row>
    <row r="434" spans="1:9" x14ac:dyDescent="0.55000000000000004">
      <c r="A434" s="29" t="s">
        <v>236</v>
      </c>
      <c r="B434" s="9">
        <v>56</v>
      </c>
      <c r="C434" s="9">
        <v>67</v>
      </c>
      <c r="D434" s="21" t="s">
        <v>37</v>
      </c>
      <c r="E434" s="9">
        <v>9</v>
      </c>
      <c r="F434" s="9" t="s">
        <v>35</v>
      </c>
      <c r="G434" s="9"/>
      <c r="H434" s="88"/>
    </row>
    <row r="435" spans="1:9" x14ac:dyDescent="0.55000000000000004">
      <c r="A435" s="29" t="s">
        <v>248</v>
      </c>
      <c r="B435" s="9">
        <v>53</v>
      </c>
      <c r="C435" s="9">
        <v>61</v>
      </c>
      <c r="D435" s="21" t="s">
        <v>37</v>
      </c>
      <c r="E435" s="9">
        <v>9</v>
      </c>
      <c r="F435" s="9" t="s">
        <v>36</v>
      </c>
      <c r="G435" s="9"/>
      <c r="H435" s="88"/>
    </row>
    <row r="436" spans="1:9" ht="14.7" thickBot="1" x14ac:dyDescent="0.6">
      <c r="A436" s="91" t="s">
        <v>249</v>
      </c>
      <c r="B436" s="14">
        <v>54</v>
      </c>
      <c r="C436" s="14">
        <v>62</v>
      </c>
      <c r="D436" s="23" t="s">
        <v>37</v>
      </c>
      <c r="E436" s="14">
        <v>9</v>
      </c>
      <c r="F436" s="14" t="s">
        <v>36</v>
      </c>
      <c r="G436" s="14">
        <v>649</v>
      </c>
      <c r="H436" s="102">
        <f>Tabla2691260[[#This Row],[Total cluster weight (g)]]/COUNTA(A432:A436)</f>
        <v>129.80000000000001</v>
      </c>
    </row>
    <row r="437" spans="1:9" x14ac:dyDescent="0.55000000000000004">
      <c r="A437" s="6" t="s">
        <v>269</v>
      </c>
      <c r="B437" s="9">
        <v>54</v>
      </c>
      <c r="C437" s="9">
        <v>63</v>
      </c>
      <c r="D437" s="21" t="s">
        <v>37</v>
      </c>
      <c r="E437" s="9">
        <v>10</v>
      </c>
      <c r="F437" s="9" t="s">
        <v>35</v>
      </c>
      <c r="G437" s="9"/>
      <c r="H437" s="88"/>
      <c r="I437" t="s">
        <v>56</v>
      </c>
    </row>
    <row r="438" spans="1:9" x14ac:dyDescent="0.55000000000000004">
      <c r="A438" s="8" t="s">
        <v>270</v>
      </c>
      <c r="B438" s="9">
        <v>57</v>
      </c>
      <c r="C438" s="9">
        <v>68</v>
      </c>
      <c r="D438" s="21" t="s">
        <v>37</v>
      </c>
      <c r="E438" s="9">
        <v>10</v>
      </c>
      <c r="F438" s="9" t="s">
        <v>36</v>
      </c>
      <c r="G438" s="9"/>
      <c r="H438" s="88"/>
    </row>
    <row r="439" spans="1:9" x14ac:dyDescent="0.55000000000000004">
      <c r="A439" s="10" t="s">
        <v>271</v>
      </c>
      <c r="B439" s="9">
        <v>58</v>
      </c>
      <c r="C439" s="9">
        <v>69</v>
      </c>
      <c r="D439" s="21" t="s">
        <v>37</v>
      </c>
      <c r="E439" s="9">
        <v>10</v>
      </c>
      <c r="F439" s="9" t="s">
        <v>36</v>
      </c>
      <c r="G439" s="9"/>
      <c r="H439" s="88"/>
    </row>
    <row r="440" spans="1:9" x14ac:dyDescent="0.55000000000000004">
      <c r="A440" s="11" t="s">
        <v>260</v>
      </c>
      <c r="B440" s="9">
        <v>60</v>
      </c>
      <c r="C440" s="9">
        <v>72</v>
      </c>
      <c r="D440" s="21" t="s">
        <v>37</v>
      </c>
      <c r="E440" s="9">
        <v>10</v>
      </c>
      <c r="F440" s="9" t="s">
        <v>36</v>
      </c>
      <c r="G440" s="9"/>
      <c r="H440" s="88"/>
    </row>
    <row r="441" spans="1:9" ht="14.7" thickBot="1" x14ac:dyDescent="0.6">
      <c r="A441" s="13" t="s">
        <v>267</v>
      </c>
      <c r="B441" s="14">
        <v>60</v>
      </c>
      <c r="C441" s="14">
        <v>72</v>
      </c>
      <c r="D441" s="23" t="s">
        <v>37</v>
      </c>
      <c r="E441" s="14">
        <v>10</v>
      </c>
      <c r="F441" s="14" t="s">
        <v>36</v>
      </c>
      <c r="G441" s="14">
        <v>763.5</v>
      </c>
      <c r="H441" s="102">
        <f>Tabla2691260[[#This Row],[Total cluster weight (g)]]/COUNTA(A437:A441)</f>
        <v>152.69999999999999</v>
      </c>
    </row>
    <row r="442" spans="1:9" x14ac:dyDescent="0.55000000000000004">
      <c r="A442" s="29"/>
      <c r="B442" s="54"/>
      <c r="C442" s="54"/>
      <c r="D442" s="31"/>
      <c r="E442" s="54"/>
      <c r="F442" s="54"/>
      <c r="G442" s="54"/>
    </row>
    <row r="443" spans="1:9" x14ac:dyDescent="0.55000000000000004">
      <c r="A443" s="59" t="s">
        <v>181</v>
      </c>
      <c r="B443" s="55" t="s">
        <v>162</v>
      </c>
      <c r="C443" s="55" t="s">
        <v>163</v>
      </c>
      <c r="D443" s="55" t="s">
        <v>164</v>
      </c>
      <c r="E443" s="55" t="s">
        <v>165</v>
      </c>
      <c r="F443" s="56" t="s">
        <v>189</v>
      </c>
      <c r="G443" s="110" t="s">
        <v>230</v>
      </c>
    </row>
    <row r="444" spans="1:9" x14ac:dyDescent="0.55000000000000004">
      <c r="A444" s="60" t="s">
        <v>166</v>
      </c>
      <c r="B444" s="57">
        <f>AVERAGE(Tabla2691260[Height (mm)])</f>
        <v>54.18</v>
      </c>
      <c r="C444" s="57">
        <f>AVERAGE(Tabla2691260[Width (mm)])</f>
        <v>65.5</v>
      </c>
      <c r="D444" s="57">
        <f>MAX(Tabla2691260[[Cluster number ]])</f>
        <v>10</v>
      </c>
      <c r="E444" s="57">
        <f>AVERAGE(Tabla2691260[Tomato average weight per cluster])</f>
        <v>128.29000000000002</v>
      </c>
      <c r="F444" s="58">
        <f>COUNTA(Tabla2691260["C9" PLANT])</f>
        <v>50</v>
      </c>
      <c r="G444" s="109">
        <f>SUM(Tabla2691260[Total cluster weight (g)])</f>
        <v>6414.5</v>
      </c>
    </row>
    <row r="446" spans="1:9" ht="14.7" thickBot="1" x14ac:dyDescent="0.6">
      <c r="A446" s="5" t="s">
        <v>22</v>
      </c>
      <c r="B446" t="s">
        <v>3</v>
      </c>
      <c r="C446" t="s">
        <v>4</v>
      </c>
      <c r="D446" t="s">
        <v>5</v>
      </c>
      <c r="E446" t="s">
        <v>6</v>
      </c>
      <c r="F446" t="s">
        <v>7</v>
      </c>
      <c r="G446" t="s">
        <v>8</v>
      </c>
      <c r="H446" t="s">
        <v>161</v>
      </c>
    </row>
    <row r="447" spans="1:9" x14ac:dyDescent="0.55000000000000004">
      <c r="A447" s="6" t="s">
        <v>9</v>
      </c>
      <c r="B447" s="9">
        <v>45</v>
      </c>
      <c r="C447" s="9">
        <v>58</v>
      </c>
      <c r="D447" s="21" t="s">
        <v>37</v>
      </c>
      <c r="E447" s="9">
        <v>1</v>
      </c>
      <c r="F447" s="9" t="s">
        <v>35</v>
      </c>
      <c r="G447" s="9"/>
      <c r="H447" s="12"/>
    </row>
    <row r="448" spans="1:9" x14ac:dyDescent="0.55000000000000004">
      <c r="A448" s="8" t="s">
        <v>10</v>
      </c>
      <c r="B448" s="9">
        <v>48</v>
      </c>
      <c r="C448" s="9">
        <v>59</v>
      </c>
      <c r="D448" s="21" t="s">
        <v>37</v>
      </c>
      <c r="E448" s="9">
        <v>1</v>
      </c>
      <c r="F448" s="9" t="s">
        <v>36</v>
      </c>
      <c r="G448" s="9"/>
      <c r="H448" s="9"/>
    </row>
    <row r="449" spans="1:9" x14ac:dyDescent="0.55000000000000004">
      <c r="A449" s="10" t="s">
        <v>11</v>
      </c>
      <c r="B449" s="9">
        <v>47</v>
      </c>
      <c r="C449" s="9">
        <v>63</v>
      </c>
      <c r="D449" s="21" t="s">
        <v>37</v>
      </c>
      <c r="E449" s="9">
        <v>1</v>
      </c>
      <c r="F449" s="9" t="s">
        <v>36</v>
      </c>
      <c r="G449" s="9"/>
      <c r="H449" s="9"/>
    </row>
    <row r="450" spans="1:9" x14ac:dyDescent="0.55000000000000004">
      <c r="A450" s="11" t="s">
        <v>12</v>
      </c>
      <c r="B450" s="9">
        <v>48</v>
      </c>
      <c r="C450" s="9">
        <v>65</v>
      </c>
      <c r="D450" s="21" t="s">
        <v>37</v>
      </c>
      <c r="E450" s="9">
        <v>1</v>
      </c>
      <c r="F450" s="9" t="s">
        <v>36</v>
      </c>
      <c r="G450" s="9"/>
      <c r="H450" s="9"/>
    </row>
    <row r="451" spans="1:9" ht="14.7" thickBot="1" x14ac:dyDescent="0.6">
      <c r="A451" s="13" t="s">
        <v>13</v>
      </c>
      <c r="B451" s="14">
        <v>47</v>
      </c>
      <c r="C451" s="14">
        <v>68</v>
      </c>
      <c r="D451" s="23" t="s">
        <v>37</v>
      </c>
      <c r="E451" s="14">
        <v>1</v>
      </c>
      <c r="F451" s="14" t="s">
        <v>36</v>
      </c>
      <c r="G451" s="14">
        <v>506.5</v>
      </c>
      <c r="H451" s="14">
        <f>Tabla2691361[[#This Row],[Total cluster weight (g)]]/COUNTA(A447:A451)</f>
        <v>101.3</v>
      </c>
    </row>
    <row r="452" spans="1:9" x14ac:dyDescent="0.55000000000000004">
      <c r="A452" s="6" t="s">
        <v>41</v>
      </c>
      <c r="B452" s="9">
        <v>39</v>
      </c>
      <c r="C452" s="9">
        <v>51</v>
      </c>
      <c r="D452" s="21" t="s">
        <v>37</v>
      </c>
      <c r="E452" s="9">
        <v>2</v>
      </c>
      <c r="F452" s="9" t="s">
        <v>35</v>
      </c>
      <c r="G452" s="9"/>
      <c r="H452" s="12"/>
    </row>
    <row r="453" spans="1:9" x14ac:dyDescent="0.55000000000000004">
      <c r="A453" s="10" t="s">
        <v>42</v>
      </c>
      <c r="B453" s="9">
        <v>41</v>
      </c>
      <c r="C453" s="9">
        <v>53</v>
      </c>
      <c r="D453" s="21" t="s">
        <v>37</v>
      </c>
      <c r="E453" s="9">
        <v>2</v>
      </c>
      <c r="F453" s="9" t="s">
        <v>35</v>
      </c>
      <c r="G453" s="9"/>
      <c r="H453" s="9"/>
    </row>
    <row r="454" spans="1:9" x14ac:dyDescent="0.55000000000000004">
      <c r="A454" s="10" t="s">
        <v>43</v>
      </c>
      <c r="B454" s="9">
        <v>40</v>
      </c>
      <c r="C454" s="9">
        <v>53</v>
      </c>
      <c r="D454" s="21" t="s">
        <v>37</v>
      </c>
      <c r="E454" s="9">
        <v>2</v>
      </c>
      <c r="F454" s="9" t="s">
        <v>36</v>
      </c>
      <c r="G454" s="9"/>
      <c r="H454" s="9"/>
    </row>
    <row r="455" spans="1:9" x14ac:dyDescent="0.55000000000000004">
      <c r="A455" s="10" t="s">
        <v>44</v>
      </c>
      <c r="B455" s="9">
        <v>44</v>
      </c>
      <c r="C455" s="9">
        <v>58</v>
      </c>
      <c r="D455" s="21">
        <v>86</v>
      </c>
      <c r="E455" s="9">
        <v>2</v>
      </c>
      <c r="F455" s="9" t="s">
        <v>36</v>
      </c>
      <c r="G455" s="9"/>
      <c r="H455" s="9"/>
      <c r="I455" t="s">
        <v>38</v>
      </c>
    </row>
    <row r="456" spans="1:9" ht="14.7" thickBot="1" x14ac:dyDescent="0.6">
      <c r="A456" s="13" t="s">
        <v>45</v>
      </c>
      <c r="B456" s="14">
        <v>44</v>
      </c>
      <c r="C456" s="14">
        <v>56</v>
      </c>
      <c r="D456" s="23">
        <v>73.7</v>
      </c>
      <c r="E456" s="14">
        <v>2</v>
      </c>
      <c r="F456" s="14" t="s">
        <v>36</v>
      </c>
      <c r="G456" s="14">
        <v>336.7</v>
      </c>
      <c r="H456" s="14">
        <f>Tabla2691361[[#This Row],[Total cluster weight (g)]]/COUNTA(A452:A456)</f>
        <v>67.34</v>
      </c>
      <c r="I456" t="s">
        <v>38</v>
      </c>
    </row>
    <row r="457" spans="1:9" x14ac:dyDescent="0.55000000000000004">
      <c r="A457" s="6" t="s">
        <v>49</v>
      </c>
      <c r="B457" s="9">
        <v>47</v>
      </c>
      <c r="C457" s="9">
        <v>62</v>
      </c>
      <c r="D457" s="21" t="s">
        <v>37</v>
      </c>
      <c r="E457" s="9">
        <v>3</v>
      </c>
      <c r="F457" s="9" t="s">
        <v>35</v>
      </c>
      <c r="G457" s="9"/>
      <c r="H457" s="12"/>
    </row>
    <row r="458" spans="1:9" x14ac:dyDescent="0.55000000000000004">
      <c r="A458" s="8" t="s">
        <v>50</v>
      </c>
      <c r="B458" s="9">
        <v>52</v>
      </c>
      <c r="C458" s="9">
        <v>59</v>
      </c>
      <c r="D458" s="21" t="s">
        <v>37</v>
      </c>
      <c r="E458" s="9">
        <v>3</v>
      </c>
      <c r="F458" s="9" t="s">
        <v>36</v>
      </c>
      <c r="G458" s="9"/>
      <c r="H458" s="9"/>
    </row>
    <row r="459" spans="1:9" x14ac:dyDescent="0.55000000000000004">
      <c r="A459" s="10" t="s">
        <v>51</v>
      </c>
      <c r="B459" s="9">
        <v>50</v>
      </c>
      <c r="C459" s="9">
        <v>61</v>
      </c>
      <c r="D459" s="21" t="s">
        <v>37</v>
      </c>
      <c r="E459" s="9">
        <v>3</v>
      </c>
      <c r="F459" s="9" t="s">
        <v>36</v>
      </c>
      <c r="G459" s="9"/>
      <c r="H459" s="9"/>
    </row>
    <row r="460" spans="1:9" x14ac:dyDescent="0.55000000000000004">
      <c r="A460" s="34" t="s">
        <v>52</v>
      </c>
      <c r="B460" s="9">
        <v>50</v>
      </c>
      <c r="C460" s="9">
        <v>62</v>
      </c>
      <c r="D460" s="21" t="s">
        <v>37</v>
      </c>
      <c r="E460" s="9">
        <v>3</v>
      </c>
      <c r="F460" s="9" t="s">
        <v>36</v>
      </c>
      <c r="G460" s="9"/>
      <c r="H460" s="9"/>
    </row>
    <row r="461" spans="1:9" ht="14.7" thickBot="1" x14ac:dyDescent="0.6">
      <c r="A461" s="35" t="s">
        <v>53</v>
      </c>
      <c r="B461" s="14">
        <v>50</v>
      </c>
      <c r="C461" s="14">
        <v>60</v>
      </c>
      <c r="D461" s="23" t="s">
        <v>37</v>
      </c>
      <c r="E461" s="14">
        <v>3</v>
      </c>
      <c r="F461" s="14" t="s">
        <v>36</v>
      </c>
      <c r="G461" s="14">
        <v>459.5</v>
      </c>
      <c r="H461" s="14">
        <f>Tabla2691361[[#This Row],[Total cluster weight (g)]]/COUNTA(A457:A461)</f>
        <v>91.9</v>
      </c>
    </row>
    <row r="462" spans="1:9" x14ac:dyDescent="0.55000000000000004">
      <c r="A462" s="6" t="s">
        <v>69</v>
      </c>
      <c r="B462" s="9">
        <v>40</v>
      </c>
      <c r="C462" s="9">
        <v>53</v>
      </c>
      <c r="D462" s="21" t="s">
        <v>37</v>
      </c>
      <c r="E462" s="9">
        <v>4</v>
      </c>
      <c r="F462" s="9" t="s">
        <v>68</v>
      </c>
      <c r="G462" s="9"/>
      <c r="H462" s="12"/>
      <c r="I462" t="s">
        <v>56</v>
      </c>
    </row>
    <row r="463" spans="1:9" x14ac:dyDescent="0.55000000000000004">
      <c r="A463" s="8" t="s">
        <v>65</v>
      </c>
      <c r="B463" s="9">
        <v>44</v>
      </c>
      <c r="C463" s="9">
        <v>60</v>
      </c>
      <c r="D463" s="21" t="s">
        <v>37</v>
      </c>
      <c r="E463" s="9">
        <v>4</v>
      </c>
      <c r="F463" s="9" t="s">
        <v>35</v>
      </c>
      <c r="G463" s="9"/>
      <c r="H463" s="9"/>
    </row>
    <row r="464" spans="1:9" x14ac:dyDescent="0.55000000000000004">
      <c r="A464" s="10" t="s">
        <v>70</v>
      </c>
      <c r="B464" s="9">
        <v>45</v>
      </c>
      <c r="C464" s="9">
        <v>59</v>
      </c>
      <c r="D464" s="21" t="s">
        <v>37</v>
      </c>
      <c r="E464" s="9">
        <v>4</v>
      </c>
      <c r="F464" s="9" t="s">
        <v>36</v>
      </c>
      <c r="G464" s="9"/>
      <c r="H464" s="9"/>
    </row>
    <row r="465" spans="1:8" x14ac:dyDescent="0.55000000000000004">
      <c r="A465" s="11" t="s">
        <v>67</v>
      </c>
      <c r="B465" s="9">
        <v>47</v>
      </c>
      <c r="C465" s="9">
        <v>61</v>
      </c>
      <c r="D465" s="21" t="s">
        <v>37</v>
      </c>
      <c r="E465" s="9">
        <v>4</v>
      </c>
      <c r="F465" s="9" t="s">
        <v>36</v>
      </c>
      <c r="G465" s="9"/>
      <c r="H465" s="9"/>
    </row>
    <row r="466" spans="1:8" ht="14.7" thickBot="1" x14ac:dyDescent="0.6">
      <c r="A466" s="13" t="s">
        <v>71</v>
      </c>
      <c r="B466" s="14">
        <v>47</v>
      </c>
      <c r="C466" s="14">
        <v>62</v>
      </c>
      <c r="D466" s="23" t="s">
        <v>37</v>
      </c>
      <c r="E466" s="14">
        <v>4</v>
      </c>
      <c r="F466" s="14" t="s">
        <v>36</v>
      </c>
      <c r="G466" s="14">
        <v>399</v>
      </c>
      <c r="H466" s="14">
        <f>Tabla2691361[[#This Row],[Total cluster weight (g)]]/COUNTA(A462:A466)</f>
        <v>79.8</v>
      </c>
    </row>
    <row r="467" spans="1:8" x14ac:dyDescent="0.55000000000000004">
      <c r="A467" s="6" t="s">
        <v>89</v>
      </c>
      <c r="B467" s="7">
        <v>45</v>
      </c>
      <c r="C467" s="7">
        <v>61</v>
      </c>
      <c r="D467" s="21" t="s">
        <v>37</v>
      </c>
      <c r="E467" s="9">
        <v>5</v>
      </c>
      <c r="F467" s="9" t="s">
        <v>35</v>
      </c>
      <c r="G467" s="9"/>
      <c r="H467" s="88"/>
    </row>
    <row r="468" spans="1:8" x14ac:dyDescent="0.55000000000000004">
      <c r="A468" s="8" t="s">
        <v>92</v>
      </c>
      <c r="B468" s="9">
        <v>47</v>
      </c>
      <c r="C468" s="9">
        <v>58</v>
      </c>
      <c r="D468" s="21" t="s">
        <v>37</v>
      </c>
      <c r="E468" s="9">
        <v>5</v>
      </c>
      <c r="F468" s="9" t="s">
        <v>36</v>
      </c>
      <c r="G468" s="9"/>
      <c r="H468" s="88"/>
    </row>
    <row r="469" spans="1:8" x14ac:dyDescent="0.55000000000000004">
      <c r="A469" s="10" t="s">
        <v>93</v>
      </c>
      <c r="B469" s="9">
        <v>47</v>
      </c>
      <c r="C469" s="9">
        <v>56</v>
      </c>
      <c r="D469" s="21" t="s">
        <v>37</v>
      </c>
      <c r="E469" s="9">
        <v>5</v>
      </c>
      <c r="F469" s="9" t="s">
        <v>36</v>
      </c>
      <c r="G469" s="9"/>
      <c r="H469" s="88"/>
    </row>
    <row r="470" spans="1:8" x14ac:dyDescent="0.55000000000000004">
      <c r="A470" s="11" t="s">
        <v>94</v>
      </c>
      <c r="B470" s="12">
        <v>50</v>
      </c>
      <c r="C470" s="12">
        <v>64</v>
      </c>
      <c r="D470" s="21" t="s">
        <v>37</v>
      </c>
      <c r="E470" s="9">
        <v>5</v>
      </c>
      <c r="F470" s="9" t="s">
        <v>36</v>
      </c>
      <c r="G470" s="9"/>
      <c r="H470" s="88"/>
    </row>
    <row r="471" spans="1:8" ht="14.7" thickBot="1" x14ac:dyDescent="0.6">
      <c r="A471" s="13" t="s">
        <v>95</v>
      </c>
      <c r="B471" s="14">
        <v>50</v>
      </c>
      <c r="C471" s="14">
        <v>64</v>
      </c>
      <c r="D471" s="23" t="s">
        <v>37</v>
      </c>
      <c r="E471" s="14">
        <v>5</v>
      </c>
      <c r="F471" s="14" t="s">
        <v>36</v>
      </c>
      <c r="G471" s="14">
        <v>425</v>
      </c>
      <c r="H471" s="14">
        <f>Tabla2691361[[#This Row],[Total cluster weight (g)]]/COUNTA(A467:A471)</f>
        <v>85</v>
      </c>
    </row>
    <row r="472" spans="1:8" x14ac:dyDescent="0.55000000000000004">
      <c r="A472" s="6" t="s">
        <v>144</v>
      </c>
      <c r="B472" s="7">
        <v>45</v>
      </c>
      <c r="C472" s="7">
        <v>58</v>
      </c>
      <c r="D472" s="21" t="s">
        <v>37</v>
      </c>
      <c r="E472" s="9">
        <v>6</v>
      </c>
      <c r="F472" s="9" t="s">
        <v>35</v>
      </c>
      <c r="G472" s="9"/>
      <c r="H472" s="88"/>
    </row>
    <row r="473" spans="1:8" x14ac:dyDescent="0.55000000000000004">
      <c r="A473" s="8" t="s">
        <v>150</v>
      </c>
      <c r="B473" s="9">
        <v>49</v>
      </c>
      <c r="C473" s="9">
        <v>59</v>
      </c>
      <c r="D473" s="21" t="s">
        <v>37</v>
      </c>
      <c r="E473" s="9">
        <v>6</v>
      </c>
      <c r="F473" s="9" t="s">
        <v>36</v>
      </c>
      <c r="G473" s="9"/>
      <c r="H473" s="88"/>
    </row>
    <row r="474" spans="1:8" x14ac:dyDescent="0.55000000000000004">
      <c r="A474" s="10" t="s">
        <v>151</v>
      </c>
      <c r="B474" s="9">
        <v>47</v>
      </c>
      <c r="C474" s="9">
        <v>62</v>
      </c>
      <c r="D474" s="21" t="s">
        <v>37</v>
      </c>
      <c r="E474" s="9">
        <v>6</v>
      </c>
      <c r="F474" s="9" t="s">
        <v>36</v>
      </c>
      <c r="G474" s="9"/>
      <c r="H474" s="88"/>
    </row>
    <row r="475" spans="1:8" x14ac:dyDescent="0.55000000000000004">
      <c r="A475" s="11" t="s">
        <v>152</v>
      </c>
      <c r="B475" s="12">
        <v>48</v>
      </c>
      <c r="C475" s="12">
        <v>59</v>
      </c>
      <c r="D475" s="21" t="s">
        <v>37</v>
      </c>
      <c r="E475" s="9">
        <v>6</v>
      </c>
      <c r="F475" s="9" t="s">
        <v>36</v>
      </c>
      <c r="G475" s="9"/>
      <c r="H475" s="88"/>
    </row>
    <row r="476" spans="1:8" ht="14.7" thickBot="1" x14ac:dyDescent="0.6">
      <c r="A476" s="13" t="s">
        <v>153</v>
      </c>
      <c r="B476" s="14">
        <v>50</v>
      </c>
      <c r="C476" s="14">
        <v>61</v>
      </c>
      <c r="D476" s="23" t="s">
        <v>37</v>
      </c>
      <c r="E476" s="14">
        <v>6</v>
      </c>
      <c r="F476" s="14" t="s">
        <v>36</v>
      </c>
      <c r="G476" s="14">
        <v>439.5</v>
      </c>
      <c r="H476" s="14">
        <f>Tabla2691361[[#This Row],[Total cluster weight (g)]]/COUNTA(A472:A476)</f>
        <v>87.9</v>
      </c>
    </row>
    <row r="477" spans="1:8" x14ac:dyDescent="0.55000000000000004">
      <c r="A477" s="29" t="s">
        <v>158</v>
      </c>
      <c r="B477" s="9">
        <v>47</v>
      </c>
      <c r="C477" s="9">
        <v>59</v>
      </c>
      <c r="D477" s="21" t="s">
        <v>37</v>
      </c>
      <c r="E477" s="9">
        <v>7</v>
      </c>
      <c r="F477" s="9" t="s">
        <v>35</v>
      </c>
      <c r="G477" s="9"/>
      <c r="H477" s="88"/>
    </row>
    <row r="478" spans="1:8" x14ac:dyDescent="0.55000000000000004">
      <c r="A478" s="29" t="s">
        <v>215</v>
      </c>
      <c r="B478" s="9">
        <v>47</v>
      </c>
      <c r="C478" s="9">
        <v>61</v>
      </c>
      <c r="D478" s="21" t="s">
        <v>37</v>
      </c>
      <c r="E478" s="9">
        <v>7</v>
      </c>
      <c r="F478" s="9" t="s">
        <v>36</v>
      </c>
      <c r="G478" s="9"/>
      <c r="H478" s="88"/>
    </row>
    <row r="479" spans="1:8" x14ac:dyDescent="0.55000000000000004">
      <c r="A479" s="29" t="s">
        <v>216</v>
      </c>
      <c r="B479" s="9">
        <v>52</v>
      </c>
      <c r="C479" s="9">
        <v>62</v>
      </c>
      <c r="D479" s="21" t="s">
        <v>37</v>
      </c>
      <c r="E479" s="9">
        <v>7</v>
      </c>
      <c r="F479" s="9" t="s">
        <v>36</v>
      </c>
      <c r="G479" s="9"/>
      <c r="H479" s="88"/>
    </row>
    <row r="480" spans="1:8" x14ac:dyDescent="0.55000000000000004">
      <c r="A480" s="29" t="s">
        <v>217</v>
      </c>
      <c r="B480" s="9">
        <v>52</v>
      </c>
      <c r="C480" s="9">
        <v>64</v>
      </c>
      <c r="D480" s="21" t="s">
        <v>37</v>
      </c>
      <c r="E480" s="9">
        <v>7</v>
      </c>
      <c r="F480" s="9" t="s">
        <v>36</v>
      </c>
      <c r="G480" s="9"/>
      <c r="H480" s="88"/>
    </row>
    <row r="481" spans="1:8" ht="14.7" thickBot="1" x14ac:dyDescent="0.6">
      <c r="A481" s="91" t="s">
        <v>218</v>
      </c>
      <c r="B481" s="14">
        <v>52</v>
      </c>
      <c r="C481" s="14">
        <v>64</v>
      </c>
      <c r="D481" s="23" t="s">
        <v>37</v>
      </c>
      <c r="E481" s="14">
        <v>7</v>
      </c>
      <c r="F481" s="14" t="s">
        <v>36</v>
      </c>
      <c r="G481" s="14">
        <v>504.5</v>
      </c>
      <c r="H481" s="102">
        <f>Tabla2691361[[#This Row],[Total cluster weight (g)]]/COUNTA(A477:A481)</f>
        <v>100.9</v>
      </c>
    </row>
    <row r="482" spans="1:8" x14ac:dyDescent="0.55000000000000004">
      <c r="A482" s="29" t="s">
        <v>219</v>
      </c>
      <c r="B482" s="9">
        <v>42</v>
      </c>
      <c r="C482" s="9">
        <v>59</v>
      </c>
      <c r="D482" s="21" t="s">
        <v>37</v>
      </c>
      <c r="E482" s="9">
        <v>8</v>
      </c>
      <c r="F482" s="9" t="s">
        <v>61</v>
      </c>
      <c r="G482" s="9"/>
      <c r="H482" s="88"/>
    </row>
    <row r="483" spans="1:8" x14ac:dyDescent="0.55000000000000004">
      <c r="A483" s="29" t="s">
        <v>222</v>
      </c>
      <c r="B483" s="9">
        <v>42</v>
      </c>
      <c r="C483" s="9">
        <v>51</v>
      </c>
      <c r="D483" s="21" t="s">
        <v>37</v>
      </c>
      <c r="E483" s="9">
        <v>8</v>
      </c>
      <c r="F483" s="9" t="s">
        <v>36</v>
      </c>
      <c r="G483" s="9"/>
      <c r="H483" s="88"/>
    </row>
    <row r="484" spans="1:8" x14ac:dyDescent="0.55000000000000004">
      <c r="A484" s="29" t="s">
        <v>223</v>
      </c>
      <c r="B484" s="9">
        <v>49</v>
      </c>
      <c r="C484" s="9">
        <v>54</v>
      </c>
      <c r="D484" s="21" t="s">
        <v>37</v>
      </c>
      <c r="E484" s="9">
        <v>8</v>
      </c>
      <c r="F484" s="9" t="s">
        <v>36</v>
      </c>
      <c r="G484" s="9"/>
      <c r="H484" s="88"/>
    </row>
    <row r="485" spans="1:8" x14ac:dyDescent="0.55000000000000004">
      <c r="A485" s="29" t="s">
        <v>232</v>
      </c>
      <c r="B485" s="9">
        <v>46</v>
      </c>
      <c r="C485" s="9">
        <v>56</v>
      </c>
      <c r="D485" s="21" t="s">
        <v>37</v>
      </c>
      <c r="E485" s="9">
        <v>8</v>
      </c>
      <c r="F485" s="9" t="s">
        <v>36</v>
      </c>
      <c r="G485" s="9"/>
      <c r="H485" s="88"/>
    </row>
    <row r="486" spans="1:8" ht="14.7" thickBot="1" x14ac:dyDescent="0.6">
      <c r="A486" s="91" t="s">
        <v>233</v>
      </c>
      <c r="B486" s="14">
        <v>46</v>
      </c>
      <c r="C486" s="14">
        <v>59</v>
      </c>
      <c r="D486" s="23" t="s">
        <v>37</v>
      </c>
      <c r="E486" s="14">
        <v>8</v>
      </c>
      <c r="F486" s="14" t="s">
        <v>36</v>
      </c>
      <c r="G486" s="14">
        <v>357.5</v>
      </c>
      <c r="H486" s="102">
        <f>Tabla2691361[[#This Row],[Total cluster weight (g)]]/COUNTA(A482:A486)</f>
        <v>71.5</v>
      </c>
    </row>
    <row r="487" spans="1:8" x14ac:dyDescent="0.55000000000000004">
      <c r="A487" s="29" t="s">
        <v>234</v>
      </c>
      <c r="B487" s="12">
        <v>54</v>
      </c>
      <c r="C487" s="12">
        <v>64</v>
      </c>
      <c r="D487" s="28" t="s">
        <v>37</v>
      </c>
      <c r="E487" s="12">
        <v>9</v>
      </c>
      <c r="F487" s="12" t="s">
        <v>35</v>
      </c>
      <c r="G487" s="12"/>
      <c r="H487" s="93"/>
    </row>
    <row r="488" spans="1:8" x14ac:dyDescent="0.55000000000000004">
      <c r="A488" s="29" t="s">
        <v>235</v>
      </c>
      <c r="B488" s="9">
        <v>56</v>
      </c>
      <c r="C488" s="9">
        <v>63</v>
      </c>
      <c r="D488" s="21" t="s">
        <v>37</v>
      </c>
      <c r="E488" s="9">
        <v>9</v>
      </c>
      <c r="F488" s="9" t="s">
        <v>35</v>
      </c>
      <c r="G488" s="9"/>
      <c r="H488" s="88"/>
    </row>
    <row r="489" spans="1:8" x14ac:dyDescent="0.55000000000000004">
      <c r="A489" s="29" t="s">
        <v>236</v>
      </c>
      <c r="B489" s="9">
        <v>49</v>
      </c>
      <c r="C489" s="9">
        <v>63</v>
      </c>
      <c r="D489" s="21" t="s">
        <v>37</v>
      </c>
      <c r="E489" s="9">
        <v>9</v>
      </c>
      <c r="F489" s="9" t="s">
        <v>36</v>
      </c>
      <c r="G489" s="9"/>
      <c r="H489" s="88"/>
    </row>
    <row r="490" spans="1:8" x14ac:dyDescent="0.55000000000000004">
      <c r="A490" s="29" t="s">
        <v>248</v>
      </c>
      <c r="B490" s="9">
        <v>53</v>
      </c>
      <c r="C490" s="9">
        <v>66</v>
      </c>
      <c r="D490" s="21" t="s">
        <v>37</v>
      </c>
      <c r="E490" s="9">
        <v>9</v>
      </c>
      <c r="F490" s="9" t="s">
        <v>36</v>
      </c>
      <c r="G490" s="9"/>
      <c r="H490" s="88"/>
    </row>
    <row r="491" spans="1:8" ht="14.7" thickBot="1" x14ac:dyDescent="0.6">
      <c r="A491" s="91" t="s">
        <v>249</v>
      </c>
      <c r="B491" s="14">
        <v>54</v>
      </c>
      <c r="C491" s="14">
        <v>73</v>
      </c>
      <c r="D491" s="23" t="s">
        <v>37</v>
      </c>
      <c r="E491" s="14">
        <v>9</v>
      </c>
      <c r="F491" s="14" t="s">
        <v>36</v>
      </c>
      <c r="G491" s="14">
        <v>621</v>
      </c>
      <c r="H491" s="102">
        <f>Tabla2691361[[#This Row],[Total cluster weight (g)]]/COUNTA(A487:A491)</f>
        <v>124.2</v>
      </c>
    </row>
    <row r="492" spans="1:8" x14ac:dyDescent="0.55000000000000004">
      <c r="A492" s="29"/>
      <c r="B492" s="30"/>
      <c r="C492" s="30"/>
      <c r="D492" s="31"/>
      <c r="E492" s="30"/>
      <c r="F492" s="30"/>
      <c r="G492" s="30"/>
      <c r="H492" s="92"/>
    </row>
    <row r="493" spans="1:8" x14ac:dyDescent="0.55000000000000004">
      <c r="A493" s="59" t="s">
        <v>180</v>
      </c>
      <c r="B493" s="55" t="s">
        <v>162</v>
      </c>
      <c r="C493" s="55" t="s">
        <v>163</v>
      </c>
      <c r="D493" s="55" t="s">
        <v>164</v>
      </c>
      <c r="E493" s="55" t="s">
        <v>165</v>
      </c>
      <c r="F493" s="56" t="s">
        <v>189</v>
      </c>
      <c r="G493" s="110" t="s">
        <v>230</v>
      </c>
    </row>
    <row r="494" spans="1:8" x14ac:dyDescent="0.55000000000000004">
      <c r="A494" s="60" t="s">
        <v>166</v>
      </c>
      <c r="B494" s="57">
        <f>AVERAGE(Tabla2691361[Height (mm)])</f>
        <v>47.422222222222224</v>
      </c>
      <c r="C494" s="57">
        <f>AVERAGE(Tabla2691361[Width (mm)])</f>
        <v>60.06666666666667</v>
      </c>
      <c r="D494" s="57">
        <f>MAX(Tabla2691361[[Cluster number ]])</f>
        <v>9</v>
      </c>
      <c r="E494" s="57">
        <f>AVERAGE(Tabla2691361[Tomato average weight per cluster])</f>
        <v>89.982222222222219</v>
      </c>
      <c r="F494" s="58">
        <f>COUNTA(Tabla2691361["C10" PLANT])</f>
        <v>45</v>
      </c>
      <c r="G494" s="109">
        <f>SUM(Tabla2691361[Total cluster weight (g)])</f>
        <v>4049.2</v>
      </c>
    </row>
    <row r="496" spans="1:8" ht="14.7" thickBot="1" x14ac:dyDescent="0.6">
      <c r="A496" s="5" t="s">
        <v>23</v>
      </c>
      <c r="B496" t="s">
        <v>3</v>
      </c>
      <c r="C496" t="s">
        <v>4</v>
      </c>
      <c r="D496" t="s">
        <v>5</v>
      </c>
      <c r="E496" t="s">
        <v>6</v>
      </c>
      <c r="F496" t="s">
        <v>7</v>
      </c>
      <c r="G496" t="s">
        <v>8</v>
      </c>
      <c r="H496" t="s">
        <v>161</v>
      </c>
    </row>
    <row r="497" spans="1:9" x14ac:dyDescent="0.55000000000000004">
      <c r="A497" s="6" t="s">
        <v>9</v>
      </c>
      <c r="B497" s="9">
        <v>50</v>
      </c>
      <c r="C497" s="9">
        <v>62</v>
      </c>
      <c r="D497" s="21" t="s">
        <v>37</v>
      </c>
      <c r="E497" s="9">
        <v>1</v>
      </c>
      <c r="F497" s="9" t="s">
        <v>35</v>
      </c>
      <c r="G497" s="9"/>
      <c r="H497" s="12"/>
    </row>
    <row r="498" spans="1:9" x14ac:dyDescent="0.55000000000000004">
      <c r="A498" s="8" t="s">
        <v>10</v>
      </c>
      <c r="B498" s="9">
        <v>50</v>
      </c>
      <c r="C498" s="9">
        <v>65</v>
      </c>
      <c r="D498" s="21" t="s">
        <v>37</v>
      </c>
      <c r="E498" s="9">
        <v>1</v>
      </c>
      <c r="F498" s="9" t="s">
        <v>36</v>
      </c>
      <c r="G498" s="9"/>
      <c r="H498" s="9"/>
    </row>
    <row r="499" spans="1:9" x14ac:dyDescent="0.55000000000000004">
      <c r="A499" s="10" t="s">
        <v>11</v>
      </c>
      <c r="B499" s="9">
        <v>54</v>
      </c>
      <c r="C499" s="9">
        <v>70</v>
      </c>
      <c r="D499" s="21" t="s">
        <v>37</v>
      </c>
      <c r="E499" s="9">
        <v>1</v>
      </c>
      <c r="F499" s="9" t="s">
        <v>36</v>
      </c>
      <c r="G499" s="9"/>
      <c r="H499" s="9"/>
    </row>
    <row r="500" spans="1:9" ht="14.7" thickBot="1" x14ac:dyDescent="0.6">
      <c r="A500" s="13" t="s">
        <v>12</v>
      </c>
      <c r="B500" s="14">
        <v>52</v>
      </c>
      <c r="C500" s="14">
        <v>70</v>
      </c>
      <c r="D500" s="23" t="s">
        <v>37</v>
      </c>
      <c r="E500" s="14">
        <v>1</v>
      </c>
      <c r="F500" s="14" t="s">
        <v>36</v>
      </c>
      <c r="G500" s="14">
        <v>512</v>
      </c>
      <c r="H500" s="14">
        <f>Tabla2691462[[#This Row],[Total cluster weight (g)]]/COUNTA(A497:A500)</f>
        <v>128</v>
      </c>
    </row>
    <row r="501" spans="1:9" x14ac:dyDescent="0.55000000000000004">
      <c r="A501" s="34" t="s">
        <v>13</v>
      </c>
      <c r="B501" s="12">
        <v>41</v>
      </c>
      <c r="C501" s="12">
        <v>49</v>
      </c>
      <c r="D501" s="28" t="s">
        <v>37</v>
      </c>
      <c r="E501" s="12">
        <v>2</v>
      </c>
      <c r="F501" s="12" t="s">
        <v>35</v>
      </c>
      <c r="G501" s="12"/>
      <c r="H501" s="41"/>
    </row>
    <row r="502" spans="1:9" x14ac:dyDescent="0.55000000000000004">
      <c r="A502" s="10" t="s">
        <v>41</v>
      </c>
      <c r="B502" s="9">
        <v>46</v>
      </c>
      <c r="C502" s="9">
        <v>53</v>
      </c>
      <c r="D502" s="21" t="s">
        <v>37</v>
      </c>
      <c r="E502" s="9">
        <v>2</v>
      </c>
      <c r="F502" s="9" t="s">
        <v>35</v>
      </c>
      <c r="G502" s="9"/>
      <c r="H502" s="9"/>
    </row>
    <row r="503" spans="1:9" x14ac:dyDescent="0.55000000000000004">
      <c r="A503" s="10" t="s">
        <v>42</v>
      </c>
      <c r="B503" s="9">
        <v>46</v>
      </c>
      <c r="C503" s="9">
        <v>55</v>
      </c>
      <c r="D503" s="21" t="s">
        <v>37</v>
      </c>
      <c r="E503" s="9">
        <v>2</v>
      </c>
      <c r="F503" s="9" t="s">
        <v>36</v>
      </c>
      <c r="G503" s="9"/>
      <c r="H503" s="5"/>
    </row>
    <row r="504" spans="1:9" x14ac:dyDescent="0.55000000000000004">
      <c r="A504" s="10" t="s">
        <v>43</v>
      </c>
      <c r="B504" s="9">
        <v>47</v>
      </c>
      <c r="C504" s="9">
        <v>53</v>
      </c>
      <c r="D504" s="21" t="s">
        <v>37</v>
      </c>
      <c r="E504" s="9">
        <v>2</v>
      </c>
      <c r="F504" s="9" t="s">
        <v>36</v>
      </c>
      <c r="G504" s="9"/>
      <c r="H504" s="5"/>
    </row>
    <row r="505" spans="1:9" ht="14.7" thickBot="1" x14ac:dyDescent="0.6">
      <c r="A505" s="35" t="s">
        <v>44</v>
      </c>
      <c r="B505" s="14">
        <v>49</v>
      </c>
      <c r="C505" s="14">
        <v>64</v>
      </c>
      <c r="D505" s="23">
        <v>103</v>
      </c>
      <c r="E505" s="14">
        <v>2</v>
      </c>
      <c r="F505" s="14" t="s">
        <v>36</v>
      </c>
      <c r="G505" s="14">
        <v>354</v>
      </c>
      <c r="H505" s="14">
        <f>Tabla2691462[[#This Row],[Total cluster weight (g)]]/COUNTA(A501:A505)</f>
        <v>70.8</v>
      </c>
      <c r="I505" t="s">
        <v>46</v>
      </c>
    </row>
    <row r="506" spans="1:9" x14ac:dyDescent="0.55000000000000004">
      <c r="A506" s="6" t="s">
        <v>48</v>
      </c>
      <c r="B506" s="7">
        <v>47</v>
      </c>
      <c r="C506" s="7">
        <v>63</v>
      </c>
      <c r="D506" s="21" t="s">
        <v>37</v>
      </c>
      <c r="E506" s="9">
        <v>3</v>
      </c>
      <c r="F506" s="9" t="s">
        <v>68</v>
      </c>
      <c r="G506" s="9"/>
      <c r="H506" s="5"/>
    </row>
    <row r="507" spans="1:9" x14ac:dyDescent="0.55000000000000004">
      <c r="A507" s="8" t="s">
        <v>49</v>
      </c>
      <c r="B507" s="9">
        <v>52</v>
      </c>
      <c r="C507" s="9">
        <v>63</v>
      </c>
      <c r="D507" s="21" t="s">
        <v>37</v>
      </c>
      <c r="E507" s="9">
        <v>3</v>
      </c>
      <c r="F507" s="9" t="s">
        <v>35</v>
      </c>
      <c r="G507" s="9"/>
      <c r="H507" s="5"/>
    </row>
    <row r="508" spans="1:9" x14ac:dyDescent="0.55000000000000004">
      <c r="A508" s="10" t="s">
        <v>50</v>
      </c>
      <c r="B508" s="9">
        <v>49</v>
      </c>
      <c r="C508" s="9">
        <v>64</v>
      </c>
      <c r="D508" s="21" t="s">
        <v>37</v>
      </c>
      <c r="E508" s="9">
        <v>3</v>
      </c>
      <c r="F508" s="9" t="s">
        <v>35</v>
      </c>
      <c r="G508" s="9"/>
      <c r="H508" s="5"/>
    </row>
    <row r="509" spans="1:9" x14ac:dyDescent="0.55000000000000004">
      <c r="A509" s="11" t="s">
        <v>51</v>
      </c>
      <c r="B509" s="12">
        <v>53</v>
      </c>
      <c r="C509" s="12">
        <v>63</v>
      </c>
      <c r="D509" s="21" t="s">
        <v>37</v>
      </c>
      <c r="E509" s="9">
        <v>3</v>
      </c>
      <c r="F509" s="12" t="s">
        <v>36</v>
      </c>
      <c r="G509" s="9"/>
      <c r="H509" s="5"/>
    </row>
    <row r="510" spans="1:9" ht="14.7" thickBot="1" x14ac:dyDescent="0.6">
      <c r="A510" s="13" t="s">
        <v>52</v>
      </c>
      <c r="B510" s="14">
        <v>47</v>
      </c>
      <c r="C510" s="14">
        <v>61</v>
      </c>
      <c r="D510" s="23" t="s">
        <v>37</v>
      </c>
      <c r="E510" s="14">
        <v>3</v>
      </c>
      <c r="F510" s="14" t="s">
        <v>36</v>
      </c>
      <c r="G510" s="14">
        <v>502.5</v>
      </c>
      <c r="H510" s="14">
        <f>Tabla2691462[[#This Row],[Total cluster weight (g)]]/COUNTA(A506:A510)</f>
        <v>100.5</v>
      </c>
    </row>
    <row r="511" spans="1:9" x14ac:dyDescent="0.55000000000000004">
      <c r="A511" s="6" t="s">
        <v>72</v>
      </c>
      <c r="B511" s="7">
        <v>34</v>
      </c>
      <c r="C511" s="7">
        <v>40</v>
      </c>
      <c r="D511" s="21" t="s">
        <v>37</v>
      </c>
      <c r="E511" s="9">
        <v>4</v>
      </c>
      <c r="F511" s="9" t="s">
        <v>61</v>
      </c>
      <c r="G511" s="9"/>
      <c r="H511" s="5"/>
      <c r="I511" t="s">
        <v>56</v>
      </c>
    </row>
    <row r="512" spans="1:9" x14ac:dyDescent="0.55000000000000004">
      <c r="A512" s="8" t="s">
        <v>73</v>
      </c>
      <c r="B512" s="9">
        <v>35</v>
      </c>
      <c r="C512" s="9">
        <v>47</v>
      </c>
      <c r="D512" s="21" t="s">
        <v>37</v>
      </c>
      <c r="E512" s="9">
        <v>4</v>
      </c>
      <c r="F512" s="9" t="s">
        <v>61</v>
      </c>
      <c r="G512" s="9"/>
      <c r="H512" s="5"/>
    </row>
    <row r="513" spans="1:8" x14ac:dyDescent="0.55000000000000004">
      <c r="A513" s="10" t="s">
        <v>74</v>
      </c>
      <c r="B513" s="9">
        <v>41</v>
      </c>
      <c r="C513" s="9">
        <v>51</v>
      </c>
      <c r="D513" s="21" t="s">
        <v>37</v>
      </c>
      <c r="E513" s="9">
        <v>4</v>
      </c>
      <c r="F513" s="9" t="s">
        <v>68</v>
      </c>
      <c r="G513" s="9"/>
      <c r="H513" s="5"/>
    </row>
    <row r="514" spans="1:8" x14ac:dyDescent="0.55000000000000004">
      <c r="A514" s="11" t="s">
        <v>66</v>
      </c>
      <c r="B514" s="12">
        <v>44</v>
      </c>
      <c r="C514" s="12">
        <v>54</v>
      </c>
      <c r="D514" s="21" t="s">
        <v>37</v>
      </c>
      <c r="E514" s="9">
        <v>4</v>
      </c>
      <c r="F514" s="12" t="s">
        <v>35</v>
      </c>
      <c r="G514" s="9"/>
      <c r="H514" s="5"/>
    </row>
    <row r="515" spans="1:8" ht="14.7" thickBot="1" x14ac:dyDescent="0.6">
      <c r="A515" s="13" t="s">
        <v>67</v>
      </c>
      <c r="B515" s="14">
        <v>45</v>
      </c>
      <c r="C515" s="14">
        <v>57</v>
      </c>
      <c r="D515" s="23" t="s">
        <v>37</v>
      </c>
      <c r="E515" s="14">
        <v>4</v>
      </c>
      <c r="F515" s="14" t="s">
        <v>36</v>
      </c>
      <c r="G515" s="14">
        <v>264</v>
      </c>
      <c r="H515" s="14">
        <f>Tabla2691462[[#This Row],[Total cluster weight (g)]]/COUNTA(A511:A515)</f>
        <v>52.8</v>
      </c>
    </row>
    <row r="516" spans="1:8" x14ac:dyDescent="0.55000000000000004">
      <c r="A516" s="6" t="s">
        <v>71</v>
      </c>
      <c r="B516" s="7">
        <v>52</v>
      </c>
      <c r="C516" s="7">
        <v>65</v>
      </c>
      <c r="D516" s="21" t="s">
        <v>37</v>
      </c>
      <c r="E516" s="9">
        <v>5</v>
      </c>
      <c r="F516" s="9" t="s">
        <v>35</v>
      </c>
      <c r="G516" s="9"/>
      <c r="H516" s="92"/>
    </row>
    <row r="517" spans="1:8" x14ac:dyDescent="0.55000000000000004">
      <c r="A517" s="8" t="s">
        <v>89</v>
      </c>
      <c r="B517" s="9">
        <v>56</v>
      </c>
      <c r="C517" s="9">
        <v>66</v>
      </c>
      <c r="D517" s="21" t="s">
        <v>37</v>
      </c>
      <c r="E517" s="9">
        <v>5</v>
      </c>
      <c r="F517" s="9" t="s">
        <v>35</v>
      </c>
      <c r="G517" s="9"/>
      <c r="H517" s="92"/>
    </row>
    <row r="518" spans="1:8" x14ac:dyDescent="0.55000000000000004">
      <c r="A518" s="10" t="s">
        <v>92</v>
      </c>
      <c r="B518" s="9">
        <v>59</v>
      </c>
      <c r="C518" s="9">
        <v>71</v>
      </c>
      <c r="D518" s="21" t="s">
        <v>37</v>
      </c>
      <c r="E518" s="9">
        <v>5</v>
      </c>
      <c r="F518" s="9" t="s">
        <v>35</v>
      </c>
      <c r="G518" s="9"/>
      <c r="H518" s="92"/>
    </row>
    <row r="519" spans="1:8" ht="14.7" thickBot="1" x14ac:dyDescent="0.6">
      <c r="A519" s="13" t="s">
        <v>93</v>
      </c>
      <c r="B519" s="14">
        <v>55</v>
      </c>
      <c r="C519" s="14">
        <v>67</v>
      </c>
      <c r="D519" s="23" t="s">
        <v>37</v>
      </c>
      <c r="E519" s="14">
        <v>5</v>
      </c>
      <c r="F519" s="14" t="s">
        <v>35</v>
      </c>
      <c r="G519" s="14">
        <v>483</v>
      </c>
      <c r="H519" s="14">
        <f>Tabla2691462[[#This Row],[Total cluster weight (g)]]/COUNTA(A516:A519)</f>
        <v>120.75</v>
      </c>
    </row>
    <row r="520" spans="1:8" x14ac:dyDescent="0.55000000000000004">
      <c r="A520" s="34" t="s">
        <v>94</v>
      </c>
      <c r="B520" s="12">
        <v>56</v>
      </c>
      <c r="C520" s="12">
        <v>66</v>
      </c>
      <c r="D520" s="28" t="s">
        <v>37</v>
      </c>
      <c r="E520" s="12">
        <v>6</v>
      </c>
      <c r="F520" s="12" t="s">
        <v>36</v>
      </c>
      <c r="G520" s="12"/>
      <c r="H520" s="93"/>
    </row>
    <row r="521" spans="1:8" x14ac:dyDescent="0.55000000000000004">
      <c r="A521" s="10" t="s">
        <v>95</v>
      </c>
      <c r="B521" s="9">
        <v>36</v>
      </c>
      <c r="C521" s="9">
        <v>43</v>
      </c>
      <c r="D521" s="21" t="s">
        <v>37</v>
      </c>
      <c r="E521" s="9">
        <v>6</v>
      </c>
      <c r="F521" s="9" t="s">
        <v>68</v>
      </c>
      <c r="G521" s="9"/>
      <c r="H521" s="88"/>
    </row>
    <row r="522" spans="1:8" x14ac:dyDescent="0.55000000000000004">
      <c r="A522" s="10" t="s">
        <v>144</v>
      </c>
      <c r="B522" s="9">
        <v>48</v>
      </c>
      <c r="C522" s="9">
        <v>52</v>
      </c>
      <c r="D522" s="21" t="s">
        <v>37</v>
      </c>
      <c r="E522" s="9">
        <v>6</v>
      </c>
      <c r="F522" s="9" t="s">
        <v>36</v>
      </c>
      <c r="G522" s="9"/>
      <c r="H522" s="88"/>
    </row>
    <row r="523" spans="1:8" ht="14.7" thickBot="1" x14ac:dyDescent="0.6">
      <c r="A523" s="35" t="s">
        <v>150</v>
      </c>
      <c r="B523" s="14">
        <v>57</v>
      </c>
      <c r="C523" s="14">
        <v>64</v>
      </c>
      <c r="D523" s="23" t="s">
        <v>37</v>
      </c>
      <c r="E523" s="14">
        <v>6</v>
      </c>
      <c r="F523" s="14" t="s">
        <v>36</v>
      </c>
      <c r="G523" s="14">
        <v>342.5</v>
      </c>
      <c r="H523" s="14">
        <f>Tabla2691462[[#This Row],[Total cluster weight (g)]]/COUNTA(A520:A523)</f>
        <v>85.625</v>
      </c>
    </row>
    <row r="524" spans="1:8" x14ac:dyDescent="0.55000000000000004">
      <c r="A524" s="34" t="s">
        <v>151</v>
      </c>
      <c r="B524" s="12">
        <v>49</v>
      </c>
      <c r="C524" s="12">
        <v>59</v>
      </c>
      <c r="D524" s="28" t="s">
        <v>37</v>
      </c>
      <c r="E524" s="12">
        <v>7</v>
      </c>
      <c r="F524" s="12" t="s">
        <v>35</v>
      </c>
      <c r="G524" s="12"/>
      <c r="H524" s="93"/>
    </row>
    <row r="525" spans="1:8" x14ac:dyDescent="0.55000000000000004">
      <c r="A525" s="10" t="s">
        <v>152</v>
      </c>
      <c r="B525" s="9">
        <v>52</v>
      </c>
      <c r="C525" s="9">
        <v>63</v>
      </c>
      <c r="D525" s="21" t="s">
        <v>37</v>
      </c>
      <c r="E525" s="9">
        <v>7</v>
      </c>
      <c r="F525" s="9" t="s">
        <v>36</v>
      </c>
      <c r="G525" s="9"/>
      <c r="H525" s="88"/>
    </row>
    <row r="526" spans="1:8" x14ac:dyDescent="0.55000000000000004">
      <c r="A526" s="10" t="s">
        <v>153</v>
      </c>
      <c r="B526" s="9">
        <v>53</v>
      </c>
      <c r="C526" s="9">
        <v>63</v>
      </c>
      <c r="D526" s="21" t="s">
        <v>37</v>
      </c>
      <c r="E526" s="9">
        <v>7</v>
      </c>
      <c r="F526" s="9" t="s">
        <v>36</v>
      </c>
      <c r="G526" s="9"/>
      <c r="H526" s="88"/>
    </row>
    <row r="527" spans="1:8" x14ac:dyDescent="0.55000000000000004">
      <c r="A527" s="10" t="s">
        <v>158</v>
      </c>
      <c r="B527" s="9">
        <v>53</v>
      </c>
      <c r="C527" s="9">
        <v>64</v>
      </c>
      <c r="D527" s="21" t="s">
        <v>37</v>
      </c>
      <c r="E527" s="9">
        <v>7</v>
      </c>
      <c r="F527" s="9" t="s">
        <v>36</v>
      </c>
      <c r="G527" s="9"/>
      <c r="H527" s="88"/>
    </row>
    <row r="528" spans="1:8" ht="14.7" thickBot="1" x14ac:dyDescent="0.6">
      <c r="A528" s="35" t="s">
        <v>215</v>
      </c>
      <c r="B528" s="14">
        <v>57</v>
      </c>
      <c r="C528" s="14">
        <v>63</v>
      </c>
      <c r="D528" s="23" t="s">
        <v>37</v>
      </c>
      <c r="E528" s="14">
        <v>7</v>
      </c>
      <c r="F528" s="14" t="s">
        <v>36</v>
      </c>
      <c r="G528" s="14">
        <v>545.5</v>
      </c>
      <c r="H528" s="102">
        <f>Tabla2691462[[#This Row],[Total cluster weight (g)]]/COUNTA(A524:A528)</f>
        <v>109.1</v>
      </c>
    </row>
    <row r="529" spans="1:9" x14ac:dyDescent="0.55000000000000004">
      <c r="A529" s="34" t="s">
        <v>216</v>
      </c>
      <c r="B529" s="12">
        <v>52</v>
      </c>
      <c r="C529" s="12">
        <v>63</v>
      </c>
      <c r="D529" s="28" t="s">
        <v>37</v>
      </c>
      <c r="E529" s="12">
        <v>8</v>
      </c>
      <c r="F529" s="12" t="s">
        <v>35</v>
      </c>
      <c r="G529" s="12"/>
      <c r="H529" s="93"/>
    </row>
    <row r="530" spans="1:9" x14ac:dyDescent="0.55000000000000004">
      <c r="A530" s="10" t="s">
        <v>217</v>
      </c>
      <c r="B530" s="9">
        <v>54</v>
      </c>
      <c r="C530" s="9">
        <v>63</v>
      </c>
      <c r="D530" s="21" t="s">
        <v>37</v>
      </c>
      <c r="E530" s="9">
        <v>8</v>
      </c>
      <c r="F530" s="9" t="s">
        <v>35</v>
      </c>
      <c r="G530" s="9"/>
      <c r="H530" s="88"/>
    </row>
    <row r="531" spans="1:9" x14ac:dyDescent="0.55000000000000004">
      <c r="A531" s="10" t="s">
        <v>218</v>
      </c>
      <c r="B531" s="9">
        <v>58</v>
      </c>
      <c r="C531" s="9">
        <v>66</v>
      </c>
      <c r="D531" s="21" t="s">
        <v>37</v>
      </c>
      <c r="E531" s="9">
        <v>8</v>
      </c>
      <c r="F531" s="9" t="s">
        <v>35</v>
      </c>
      <c r="G531" s="9"/>
      <c r="H531" s="88"/>
    </row>
    <row r="532" spans="1:9" ht="14.7" thickBot="1" x14ac:dyDescent="0.6">
      <c r="A532" s="35" t="s">
        <v>219</v>
      </c>
      <c r="B532" s="14">
        <v>58</v>
      </c>
      <c r="C532" s="14">
        <v>68</v>
      </c>
      <c r="D532" s="23" t="s">
        <v>37</v>
      </c>
      <c r="E532" s="14">
        <v>8</v>
      </c>
      <c r="F532" s="14" t="s">
        <v>35</v>
      </c>
      <c r="G532" s="14">
        <v>506</v>
      </c>
      <c r="H532" s="102">
        <f>Tabla2691462[[#This Row],[Total cluster weight (g)]]/COUNTA(A529:A532)</f>
        <v>126.5</v>
      </c>
    </row>
    <row r="533" spans="1:9" x14ac:dyDescent="0.55000000000000004">
      <c r="A533" s="29"/>
      <c r="B533" s="30"/>
      <c r="C533" s="4"/>
      <c r="D533" s="31"/>
      <c r="E533" s="4"/>
      <c r="F533" s="4"/>
      <c r="G533" s="4"/>
    </row>
    <row r="534" spans="1:9" x14ac:dyDescent="0.55000000000000004">
      <c r="A534" s="59" t="s">
        <v>179</v>
      </c>
      <c r="B534" s="55" t="s">
        <v>162</v>
      </c>
      <c r="C534" s="55" t="s">
        <v>163</v>
      </c>
      <c r="D534" s="55" t="s">
        <v>164</v>
      </c>
      <c r="E534" s="55" t="s">
        <v>165</v>
      </c>
      <c r="F534" s="56" t="s">
        <v>189</v>
      </c>
      <c r="G534" s="110" t="s">
        <v>230</v>
      </c>
    </row>
    <row r="535" spans="1:9" x14ac:dyDescent="0.55000000000000004">
      <c r="A535" s="60" t="s">
        <v>166</v>
      </c>
      <c r="B535" s="57">
        <f>AVERAGE(Tabla2691462[Height (mm)])</f>
        <v>49.638888888888886</v>
      </c>
      <c r="C535" s="57">
        <f>AVERAGE(Tabla2691462[Width (mm)])</f>
        <v>60.277777777777779</v>
      </c>
      <c r="D535" s="57">
        <f>MAX(Tabla2691462[[Cluster number ]])</f>
        <v>8</v>
      </c>
      <c r="E535" s="57">
        <f>AVERAGE(Tabla2691462[Tomato average weight per cluster])</f>
        <v>99.259375000000006</v>
      </c>
      <c r="F535" s="58">
        <f>COUNTA(Tabla2691462["C11" PLANT])</f>
        <v>36</v>
      </c>
      <c r="G535" s="109">
        <f>SUM(Tabla2691462[Total cluster weight (g)])</f>
        <v>3509.5</v>
      </c>
    </row>
    <row r="537" spans="1:9" x14ac:dyDescent="0.55000000000000004">
      <c r="A537" s="5" t="s">
        <v>24</v>
      </c>
      <c r="B537" t="s">
        <v>3</v>
      </c>
      <c r="C537" t="s">
        <v>4</v>
      </c>
      <c r="D537" t="s">
        <v>5</v>
      </c>
      <c r="E537" t="s">
        <v>6</v>
      </c>
      <c r="F537" t="s">
        <v>7</v>
      </c>
      <c r="G537" t="s">
        <v>8</v>
      </c>
      <c r="H537" t="s">
        <v>161</v>
      </c>
    </row>
    <row r="538" spans="1:9" x14ac:dyDescent="0.55000000000000004">
      <c r="A538" s="10" t="s">
        <v>9</v>
      </c>
      <c r="B538" s="9">
        <v>46</v>
      </c>
      <c r="C538" s="9">
        <v>56</v>
      </c>
      <c r="D538" s="21" t="s">
        <v>37</v>
      </c>
      <c r="E538" s="9">
        <v>1</v>
      </c>
      <c r="F538" s="9" t="s">
        <v>35</v>
      </c>
      <c r="G538" s="9"/>
      <c r="H538" s="12"/>
    </row>
    <row r="539" spans="1:9" x14ac:dyDescent="0.55000000000000004">
      <c r="A539" s="10" t="s">
        <v>10</v>
      </c>
      <c r="B539" s="9">
        <v>50</v>
      </c>
      <c r="C539" s="9">
        <v>60</v>
      </c>
      <c r="D539" s="21" t="s">
        <v>37</v>
      </c>
      <c r="E539" s="9">
        <v>1</v>
      </c>
      <c r="F539" s="9" t="s">
        <v>36</v>
      </c>
      <c r="G539" s="9"/>
      <c r="H539" s="9"/>
    </row>
    <row r="540" spans="1:9" x14ac:dyDescent="0.55000000000000004">
      <c r="A540" s="10" t="s">
        <v>11</v>
      </c>
      <c r="B540" s="9">
        <v>51</v>
      </c>
      <c r="C540" s="9">
        <v>60</v>
      </c>
      <c r="D540" s="21" t="s">
        <v>37</v>
      </c>
      <c r="E540" s="9">
        <v>1</v>
      </c>
      <c r="F540" s="9" t="s">
        <v>36</v>
      </c>
      <c r="G540" s="9"/>
      <c r="H540" s="9"/>
    </row>
    <row r="541" spans="1:9" x14ac:dyDescent="0.55000000000000004">
      <c r="A541" s="10" t="s">
        <v>12</v>
      </c>
      <c r="B541" s="9">
        <v>51</v>
      </c>
      <c r="C541" s="9">
        <v>62</v>
      </c>
      <c r="D541" s="21" t="s">
        <v>37</v>
      </c>
      <c r="E541" s="9">
        <v>1</v>
      </c>
      <c r="F541" s="9" t="s">
        <v>36</v>
      </c>
      <c r="G541" s="9"/>
      <c r="H541" s="9"/>
    </row>
    <row r="542" spans="1:9" ht="14.7" thickBot="1" x14ac:dyDescent="0.6">
      <c r="A542" s="39" t="s">
        <v>40</v>
      </c>
      <c r="B542" s="22">
        <v>50</v>
      </c>
      <c r="C542" s="22">
        <v>62</v>
      </c>
      <c r="D542" s="26">
        <v>102.5</v>
      </c>
      <c r="E542" s="22">
        <v>1</v>
      </c>
      <c r="F542" s="14" t="s">
        <v>36</v>
      </c>
      <c r="G542" s="14">
        <v>475.5</v>
      </c>
      <c r="H542" s="14">
        <f>Tabla2691563[[#This Row],[Total cluster weight (g)]]/COUNTA(A538:A542)</f>
        <v>95.1</v>
      </c>
      <c r="I542" t="s">
        <v>46</v>
      </c>
    </row>
    <row r="543" spans="1:9" x14ac:dyDescent="0.55000000000000004">
      <c r="A543" s="10" t="s">
        <v>41</v>
      </c>
      <c r="B543" s="9">
        <v>52</v>
      </c>
      <c r="C543" s="9">
        <v>60</v>
      </c>
      <c r="D543" s="21" t="s">
        <v>37</v>
      </c>
      <c r="E543" s="9">
        <v>2</v>
      </c>
      <c r="F543" s="9" t="s">
        <v>35</v>
      </c>
      <c r="G543" s="9"/>
      <c r="H543" s="12"/>
    </row>
    <row r="544" spans="1:9" x14ac:dyDescent="0.55000000000000004">
      <c r="A544" s="10" t="s">
        <v>42</v>
      </c>
      <c r="B544" s="9">
        <v>52</v>
      </c>
      <c r="C544" s="9">
        <v>65</v>
      </c>
      <c r="D544" s="21" t="s">
        <v>37</v>
      </c>
      <c r="E544" s="9">
        <v>2</v>
      </c>
      <c r="F544" s="9" t="s">
        <v>36</v>
      </c>
      <c r="G544" s="9"/>
      <c r="H544" s="9"/>
    </row>
    <row r="545" spans="1:9" x14ac:dyDescent="0.55000000000000004">
      <c r="A545" s="10" t="s">
        <v>43</v>
      </c>
      <c r="B545" s="9">
        <v>52</v>
      </c>
      <c r="C545" s="9">
        <v>63</v>
      </c>
      <c r="D545" s="21" t="s">
        <v>37</v>
      </c>
      <c r="E545" s="9">
        <v>2</v>
      </c>
      <c r="F545" s="9" t="s">
        <v>36</v>
      </c>
      <c r="G545" s="9"/>
      <c r="H545" s="9"/>
    </row>
    <row r="546" spans="1:9" x14ac:dyDescent="0.55000000000000004">
      <c r="A546" s="10" t="s">
        <v>47</v>
      </c>
      <c r="B546" s="9">
        <v>51</v>
      </c>
      <c r="C546" s="9">
        <v>61</v>
      </c>
      <c r="D546" s="21" t="s">
        <v>37</v>
      </c>
      <c r="E546" s="9">
        <v>2</v>
      </c>
      <c r="F546" s="9" t="s">
        <v>36</v>
      </c>
      <c r="G546" s="9"/>
      <c r="H546" s="9"/>
    </row>
    <row r="547" spans="1:9" ht="14.7" thickBot="1" x14ac:dyDescent="0.6">
      <c r="A547" s="35" t="s">
        <v>48</v>
      </c>
      <c r="B547" s="14">
        <v>51</v>
      </c>
      <c r="C547" s="14">
        <v>64</v>
      </c>
      <c r="D547" s="23" t="s">
        <v>37</v>
      </c>
      <c r="E547" s="14">
        <v>2</v>
      </c>
      <c r="F547" s="14" t="s">
        <v>36</v>
      </c>
      <c r="G547" s="14">
        <v>524.5</v>
      </c>
      <c r="H547" s="14">
        <f>Tabla2691563[[#This Row],[Total cluster weight (g)]]/COUNTA(A543:A547)</f>
        <v>104.9</v>
      </c>
    </row>
    <row r="548" spans="1:9" x14ac:dyDescent="0.55000000000000004">
      <c r="A548" s="34" t="s">
        <v>90</v>
      </c>
      <c r="B548" s="12">
        <v>41</v>
      </c>
      <c r="C548" s="12">
        <v>60</v>
      </c>
      <c r="D548" s="28" t="s">
        <v>37</v>
      </c>
      <c r="E548" s="12">
        <v>3</v>
      </c>
      <c r="F548" s="12" t="s">
        <v>61</v>
      </c>
      <c r="G548" s="12"/>
      <c r="H548" s="12"/>
      <c r="I548" t="s">
        <v>56</v>
      </c>
    </row>
    <row r="549" spans="1:9" x14ac:dyDescent="0.55000000000000004">
      <c r="A549" s="10" t="s">
        <v>76</v>
      </c>
      <c r="B549" s="9">
        <v>42</v>
      </c>
      <c r="C549" s="9">
        <v>56</v>
      </c>
      <c r="D549" s="21" t="s">
        <v>37</v>
      </c>
      <c r="E549" s="9">
        <v>3</v>
      </c>
      <c r="F549" s="9" t="s">
        <v>68</v>
      </c>
      <c r="G549" s="9"/>
      <c r="H549" s="9"/>
    </row>
    <row r="550" spans="1:9" x14ac:dyDescent="0.55000000000000004">
      <c r="A550" s="10" t="s">
        <v>91</v>
      </c>
      <c r="B550" s="9">
        <v>45</v>
      </c>
      <c r="C550" s="9">
        <v>57</v>
      </c>
      <c r="D550" s="21" t="s">
        <v>37</v>
      </c>
      <c r="E550" s="9">
        <v>3</v>
      </c>
      <c r="F550" s="9" t="s">
        <v>35</v>
      </c>
      <c r="G550" s="9"/>
      <c r="H550" s="9"/>
    </row>
    <row r="551" spans="1:9" x14ac:dyDescent="0.55000000000000004">
      <c r="A551" s="10" t="s">
        <v>52</v>
      </c>
      <c r="B551" s="9">
        <v>43</v>
      </c>
      <c r="C551" s="9">
        <v>58</v>
      </c>
      <c r="D551" s="21" t="s">
        <v>37</v>
      </c>
      <c r="E551" s="9">
        <v>3</v>
      </c>
      <c r="F551" s="9" t="s">
        <v>36</v>
      </c>
      <c r="G551" s="9"/>
      <c r="H551" s="9"/>
    </row>
    <row r="552" spans="1:9" ht="14.7" thickBot="1" x14ac:dyDescent="0.6">
      <c r="A552" s="35" t="s">
        <v>53</v>
      </c>
      <c r="B552" s="14">
        <v>44</v>
      </c>
      <c r="C552" s="14">
        <v>59</v>
      </c>
      <c r="D552" s="23" t="s">
        <v>37</v>
      </c>
      <c r="E552" s="14">
        <v>3</v>
      </c>
      <c r="F552" s="14" t="s">
        <v>36</v>
      </c>
      <c r="G552" s="14">
        <v>371</v>
      </c>
      <c r="H552" s="14">
        <f>Tabla2691563[[#This Row],[Total cluster weight (g)]]/COUNTA(A548:A552)</f>
        <v>74.2</v>
      </c>
    </row>
    <row r="553" spans="1:9" x14ac:dyDescent="0.55000000000000004">
      <c r="A553" s="6" t="s">
        <v>80</v>
      </c>
      <c r="B553" s="7">
        <v>48</v>
      </c>
      <c r="C553" s="7">
        <v>56</v>
      </c>
      <c r="D553" s="21">
        <v>81</v>
      </c>
      <c r="E553" s="9">
        <v>4</v>
      </c>
      <c r="F553" s="9" t="s">
        <v>35</v>
      </c>
      <c r="G553" s="9"/>
      <c r="H553" s="88"/>
    </row>
    <row r="554" spans="1:9" x14ac:dyDescent="0.55000000000000004">
      <c r="A554" s="10" t="s">
        <v>81</v>
      </c>
      <c r="B554" s="9">
        <v>48</v>
      </c>
      <c r="C554" s="9">
        <v>63</v>
      </c>
      <c r="D554" s="21" t="s">
        <v>37</v>
      </c>
      <c r="E554" s="9">
        <v>4</v>
      </c>
      <c r="F554" s="9" t="s">
        <v>35</v>
      </c>
      <c r="G554" s="9"/>
      <c r="H554" s="88"/>
    </row>
    <row r="555" spans="1:9" x14ac:dyDescent="0.55000000000000004">
      <c r="A555" s="10" t="s">
        <v>66</v>
      </c>
      <c r="B555" s="9">
        <v>49</v>
      </c>
      <c r="C555" s="9">
        <v>68</v>
      </c>
      <c r="D555" s="21" t="s">
        <v>37</v>
      </c>
      <c r="E555" s="9">
        <v>4</v>
      </c>
      <c r="F555" s="9" t="s">
        <v>36</v>
      </c>
      <c r="G555" s="9"/>
      <c r="H555" s="88"/>
    </row>
    <row r="556" spans="1:9" ht="14.7" thickBot="1" x14ac:dyDescent="0.6">
      <c r="A556" s="13" t="s">
        <v>67</v>
      </c>
      <c r="B556" s="14">
        <v>50</v>
      </c>
      <c r="C556" s="14">
        <v>62</v>
      </c>
      <c r="D556" s="23" t="s">
        <v>37</v>
      </c>
      <c r="E556" s="14">
        <v>4</v>
      </c>
      <c r="F556" s="14" t="s">
        <v>36</v>
      </c>
      <c r="G556" s="14">
        <v>378</v>
      </c>
      <c r="H556" s="14">
        <f>Tabla2691563[[#This Row],[Total cluster weight (g)]]/COUNTA(A553:A556)</f>
        <v>94.5</v>
      </c>
    </row>
    <row r="557" spans="1:9" x14ac:dyDescent="0.55000000000000004">
      <c r="A557" s="10" t="s">
        <v>71</v>
      </c>
      <c r="B557" s="9">
        <v>42</v>
      </c>
      <c r="C557" s="9">
        <v>56</v>
      </c>
      <c r="D557" s="21" t="s">
        <v>37</v>
      </c>
      <c r="E557" s="9">
        <v>5</v>
      </c>
      <c r="F557" s="9" t="s">
        <v>61</v>
      </c>
      <c r="G557" s="9"/>
      <c r="H557" s="88"/>
    </row>
    <row r="558" spans="1:9" x14ac:dyDescent="0.55000000000000004">
      <c r="A558" s="10" t="s">
        <v>89</v>
      </c>
      <c r="B558" s="9">
        <v>41</v>
      </c>
      <c r="C558" s="9">
        <v>57</v>
      </c>
      <c r="D558" s="21" t="s">
        <v>37</v>
      </c>
      <c r="E558" s="9">
        <v>5</v>
      </c>
      <c r="F558" s="9" t="s">
        <v>35</v>
      </c>
      <c r="G558" s="9"/>
      <c r="H558" s="88"/>
    </row>
    <row r="559" spans="1:9" x14ac:dyDescent="0.55000000000000004">
      <c r="A559" s="10" t="s">
        <v>92</v>
      </c>
      <c r="B559" s="9">
        <v>42</v>
      </c>
      <c r="C559" s="9">
        <v>50</v>
      </c>
      <c r="D559" s="21" t="s">
        <v>37</v>
      </c>
      <c r="E559" s="9">
        <v>5</v>
      </c>
      <c r="F559" s="9" t="s">
        <v>35</v>
      </c>
      <c r="G559" s="9"/>
      <c r="H559" s="88"/>
    </row>
    <row r="560" spans="1:9" x14ac:dyDescent="0.55000000000000004">
      <c r="A560" s="10" t="s">
        <v>93</v>
      </c>
      <c r="B560" s="9">
        <v>45</v>
      </c>
      <c r="C560" s="9">
        <v>54</v>
      </c>
      <c r="D560" s="21" t="s">
        <v>37</v>
      </c>
      <c r="E560" s="9">
        <v>5</v>
      </c>
      <c r="F560" s="9" t="s">
        <v>36</v>
      </c>
      <c r="G560" s="9"/>
      <c r="H560" s="88"/>
    </row>
    <row r="561" spans="1:8" x14ac:dyDescent="0.55000000000000004">
      <c r="A561" s="10" t="s">
        <v>94</v>
      </c>
      <c r="B561" s="9">
        <v>42</v>
      </c>
      <c r="C561" s="9">
        <v>54</v>
      </c>
      <c r="D561" s="21" t="s">
        <v>37</v>
      </c>
      <c r="E561" s="9">
        <v>5</v>
      </c>
      <c r="F561" s="9" t="s">
        <v>36</v>
      </c>
      <c r="G561" s="9"/>
      <c r="H561" s="88"/>
    </row>
    <row r="562" spans="1:8" ht="14.7" thickBot="1" x14ac:dyDescent="0.6">
      <c r="A562" s="35" t="s">
        <v>95</v>
      </c>
      <c r="B562" s="14">
        <v>44</v>
      </c>
      <c r="C562" s="14">
        <v>54</v>
      </c>
      <c r="D562" s="23" t="s">
        <v>37</v>
      </c>
      <c r="E562" s="14">
        <v>5</v>
      </c>
      <c r="F562" s="14" t="s">
        <v>36</v>
      </c>
      <c r="G562" s="14">
        <v>379</v>
      </c>
      <c r="H562" s="14">
        <f>Tabla2691563[[#This Row],[Total cluster weight (g)]]/COUNTA(A557:A562)</f>
        <v>63.166666666666664</v>
      </c>
    </row>
    <row r="563" spans="1:8" x14ac:dyDescent="0.55000000000000004">
      <c r="A563" s="10" t="s">
        <v>144</v>
      </c>
      <c r="B563" s="9">
        <v>46</v>
      </c>
      <c r="C563" s="9">
        <v>60</v>
      </c>
      <c r="D563" s="21" t="s">
        <v>37</v>
      </c>
      <c r="E563" s="9">
        <v>6</v>
      </c>
      <c r="F563" s="9" t="s">
        <v>35</v>
      </c>
      <c r="G563" s="9"/>
      <c r="H563" s="88"/>
    </row>
    <row r="564" spans="1:8" x14ac:dyDescent="0.55000000000000004">
      <c r="A564" s="10" t="s">
        <v>150</v>
      </c>
      <c r="B564" s="9">
        <v>46</v>
      </c>
      <c r="C564" s="9">
        <v>59</v>
      </c>
      <c r="D564" s="21" t="s">
        <v>37</v>
      </c>
      <c r="E564" s="9">
        <v>6</v>
      </c>
      <c r="F564" s="9" t="s">
        <v>36</v>
      </c>
      <c r="G564" s="9"/>
      <c r="H564" s="88"/>
    </row>
    <row r="565" spans="1:8" x14ac:dyDescent="0.55000000000000004">
      <c r="A565" s="10" t="s">
        <v>151</v>
      </c>
      <c r="B565" s="9">
        <v>46</v>
      </c>
      <c r="C565" s="9">
        <v>64</v>
      </c>
      <c r="D565" s="21" t="s">
        <v>37</v>
      </c>
      <c r="E565" s="9">
        <v>6</v>
      </c>
      <c r="F565" s="9" t="s">
        <v>36</v>
      </c>
      <c r="G565" s="9"/>
      <c r="H565" s="88"/>
    </row>
    <row r="566" spans="1:8" x14ac:dyDescent="0.55000000000000004">
      <c r="A566" s="10" t="s">
        <v>152</v>
      </c>
      <c r="B566" s="9">
        <v>51</v>
      </c>
      <c r="C566" s="9">
        <v>64</v>
      </c>
      <c r="D566" s="21" t="s">
        <v>37</v>
      </c>
      <c r="E566" s="9">
        <v>6</v>
      </c>
      <c r="F566" s="9" t="s">
        <v>36</v>
      </c>
      <c r="G566" s="9"/>
      <c r="H566" s="88"/>
    </row>
    <row r="567" spans="1:8" x14ac:dyDescent="0.55000000000000004">
      <c r="A567" s="10" t="s">
        <v>153</v>
      </c>
      <c r="B567" s="9">
        <v>53</v>
      </c>
      <c r="C567" s="9">
        <v>66</v>
      </c>
      <c r="D567" s="21" t="s">
        <v>37</v>
      </c>
      <c r="E567" s="9">
        <v>6</v>
      </c>
      <c r="F567" s="9" t="s">
        <v>36</v>
      </c>
      <c r="G567" s="9"/>
      <c r="H567" s="88"/>
    </row>
    <row r="568" spans="1:8" ht="14.7" thickBot="1" x14ac:dyDescent="0.6">
      <c r="A568" s="35" t="s">
        <v>158</v>
      </c>
      <c r="B568" s="14">
        <v>55</v>
      </c>
      <c r="C568" s="14">
        <v>69</v>
      </c>
      <c r="D568" s="23" t="s">
        <v>37</v>
      </c>
      <c r="E568" s="14">
        <v>6</v>
      </c>
      <c r="F568" s="14" t="s">
        <v>36</v>
      </c>
      <c r="G568" s="14">
        <v>593</v>
      </c>
      <c r="H568" s="102">
        <f>Tabla2691563[[#This Row],[Total cluster weight (g)]]/COUNTA(A563:A568)</f>
        <v>98.833333333333329</v>
      </c>
    </row>
    <row r="569" spans="1:8" x14ac:dyDescent="0.55000000000000004">
      <c r="A569" s="34" t="s">
        <v>215</v>
      </c>
      <c r="B569" s="12">
        <v>49</v>
      </c>
      <c r="C569" s="12">
        <v>60</v>
      </c>
      <c r="D569" s="28" t="s">
        <v>37</v>
      </c>
      <c r="E569" s="12">
        <v>7</v>
      </c>
      <c r="F569" s="12" t="s">
        <v>61</v>
      </c>
      <c r="G569" s="12"/>
      <c r="H569" s="93"/>
    </row>
    <row r="570" spans="1:8" x14ac:dyDescent="0.55000000000000004">
      <c r="A570" s="10" t="s">
        <v>216</v>
      </c>
      <c r="B570" s="9">
        <v>45</v>
      </c>
      <c r="C570" s="9">
        <v>51</v>
      </c>
      <c r="D570" s="21" t="s">
        <v>37</v>
      </c>
      <c r="E570" s="9">
        <v>7</v>
      </c>
      <c r="F570" s="9" t="s">
        <v>68</v>
      </c>
      <c r="G570" s="9"/>
      <c r="H570" s="88"/>
    </row>
    <row r="571" spans="1:8" x14ac:dyDescent="0.55000000000000004">
      <c r="A571" s="10" t="s">
        <v>217</v>
      </c>
      <c r="B571" s="9">
        <v>52</v>
      </c>
      <c r="C571" s="9">
        <v>63</v>
      </c>
      <c r="D571" s="21" t="s">
        <v>37</v>
      </c>
      <c r="E571" s="9">
        <v>7</v>
      </c>
      <c r="F571" s="9" t="s">
        <v>35</v>
      </c>
      <c r="G571" s="9"/>
      <c r="H571" s="88"/>
    </row>
    <row r="572" spans="1:8" x14ac:dyDescent="0.55000000000000004">
      <c r="A572" s="10" t="s">
        <v>218</v>
      </c>
      <c r="B572" s="9">
        <v>52</v>
      </c>
      <c r="C572" s="9">
        <v>65</v>
      </c>
      <c r="D572" s="21" t="s">
        <v>37</v>
      </c>
      <c r="E572" s="9">
        <v>7</v>
      </c>
      <c r="F572" s="9" t="s">
        <v>35</v>
      </c>
      <c r="G572" s="9"/>
      <c r="H572" s="88"/>
    </row>
    <row r="573" spans="1:8" x14ac:dyDescent="0.55000000000000004">
      <c r="A573" s="10" t="s">
        <v>219</v>
      </c>
      <c r="B573" s="9">
        <v>52</v>
      </c>
      <c r="C573" s="9">
        <v>67</v>
      </c>
      <c r="D573" s="21" t="s">
        <v>37</v>
      </c>
      <c r="E573" s="9">
        <v>7</v>
      </c>
      <c r="F573" s="9" t="s">
        <v>36</v>
      </c>
      <c r="G573" s="9"/>
      <c r="H573" s="88"/>
    </row>
    <row r="574" spans="1:8" x14ac:dyDescent="0.55000000000000004">
      <c r="A574" s="10" t="s">
        <v>222</v>
      </c>
      <c r="B574" s="9">
        <v>54</v>
      </c>
      <c r="C574" s="9">
        <v>68</v>
      </c>
      <c r="D574" s="21" t="s">
        <v>37</v>
      </c>
      <c r="E574" s="9">
        <v>7</v>
      </c>
      <c r="F574" s="9" t="s">
        <v>36</v>
      </c>
      <c r="G574" s="9"/>
      <c r="H574" s="88"/>
    </row>
    <row r="575" spans="1:8" ht="14.7" thickBot="1" x14ac:dyDescent="0.6">
      <c r="A575" s="35" t="s">
        <v>223</v>
      </c>
      <c r="B575" s="14">
        <v>53</v>
      </c>
      <c r="C575" s="14">
        <v>68</v>
      </c>
      <c r="D575" s="23" t="s">
        <v>37</v>
      </c>
      <c r="E575" s="14">
        <v>7</v>
      </c>
      <c r="F575" s="14" t="s">
        <v>36</v>
      </c>
      <c r="G575" s="14">
        <v>736.5</v>
      </c>
      <c r="H575" s="102">
        <f>Tabla2691563[[#This Row],[Total cluster weight (g)]]/COUNTA(A569:A575)</f>
        <v>105.21428571428571</v>
      </c>
    </row>
    <row r="576" spans="1:8" x14ac:dyDescent="0.55000000000000004">
      <c r="A576" s="10" t="s">
        <v>232</v>
      </c>
      <c r="B576" s="9">
        <v>49</v>
      </c>
      <c r="C576" s="9">
        <v>66</v>
      </c>
      <c r="D576" s="21" t="s">
        <v>37</v>
      </c>
      <c r="E576" s="9">
        <v>8</v>
      </c>
      <c r="F576" s="9" t="s">
        <v>68</v>
      </c>
      <c r="G576" s="9"/>
      <c r="H576" s="88"/>
    </row>
    <row r="577" spans="1:8" x14ac:dyDescent="0.55000000000000004">
      <c r="A577" s="10" t="s">
        <v>233</v>
      </c>
      <c r="B577" s="9">
        <v>51</v>
      </c>
      <c r="C577" s="9">
        <v>66</v>
      </c>
      <c r="D577" s="21" t="s">
        <v>37</v>
      </c>
      <c r="E577" s="9">
        <v>8</v>
      </c>
      <c r="F577" s="9" t="s">
        <v>35</v>
      </c>
      <c r="G577" s="9"/>
      <c r="H577" s="88"/>
    </row>
    <row r="578" spans="1:8" x14ac:dyDescent="0.55000000000000004">
      <c r="A578" s="10" t="s">
        <v>234</v>
      </c>
      <c r="B578" s="9">
        <v>52</v>
      </c>
      <c r="C578" s="9">
        <v>65</v>
      </c>
      <c r="D578" s="21" t="s">
        <v>37</v>
      </c>
      <c r="E578" s="9">
        <v>8</v>
      </c>
      <c r="F578" s="9" t="s">
        <v>36</v>
      </c>
      <c r="G578" s="9"/>
      <c r="H578" s="88"/>
    </row>
    <row r="579" spans="1:8" x14ac:dyDescent="0.55000000000000004">
      <c r="A579" s="10" t="s">
        <v>235</v>
      </c>
      <c r="B579" s="9">
        <v>54</v>
      </c>
      <c r="C579" s="9">
        <v>65</v>
      </c>
      <c r="D579" s="21" t="s">
        <v>37</v>
      </c>
      <c r="E579" s="9">
        <v>8</v>
      </c>
      <c r="F579" s="9" t="s">
        <v>36</v>
      </c>
      <c r="G579" s="9"/>
      <c r="H579" s="88"/>
    </row>
    <row r="580" spans="1:8" ht="14.7" thickBot="1" x14ac:dyDescent="0.6">
      <c r="A580" s="35" t="s">
        <v>236</v>
      </c>
      <c r="B580" s="14">
        <v>51</v>
      </c>
      <c r="C580" s="14">
        <v>65</v>
      </c>
      <c r="D580" s="23" t="s">
        <v>37</v>
      </c>
      <c r="E580" s="14">
        <v>8</v>
      </c>
      <c r="F580" s="14" t="s">
        <v>36</v>
      </c>
      <c r="G580" s="14">
        <v>587</v>
      </c>
      <c r="H580" s="102">
        <f>Tabla2691563[[#This Row],[Total cluster weight (g)]]/COUNTA(A576:A580)</f>
        <v>117.4</v>
      </c>
    </row>
    <row r="581" spans="1:8" x14ac:dyDescent="0.55000000000000004">
      <c r="A581" s="29"/>
      <c r="B581" s="30"/>
      <c r="C581" s="43"/>
      <c r="D581" s="31"/>
      <c r="E581" s="4"/>
      <c r="F581" s="4"/>
      <c r="G581" s="4"/>
    </row>
    <row r="582" spans="1:8" x14ac:dyDescent="0.55000000000000004">
      <c r="A582" s="59" t="s">
        <v>178</v>
      </c>
      <c r="B582" s="55" t="s">
        <v>162</v>
      </c>
      <c r="C582" s="55" t="s">
        <v>163</v>
      </c>
      <c r="D582" s="55" t="s">
        <v>164</v>
      </c>
      <c r="E582" s="55" t="s">
        <v>165</v>
      </c>
      <c r="F582" s="56" t="s">
        <v>189</v>
      </c>
      <c r="G582" s="110" t="s">
        <v>230</v>
      </c>
    </row>
    <row r="583" spans="1:8" x14ac:dyDescent="0.55000000000000004">
      <c r="A583" s="60" t="s">
        <v>166</v>
      </c>
      <c r="B583" s="57">
        <f>AVERAGE(Tabla2691563[Height (mm)])</f>
        <v>48.441860465116278</v>
      </c>
      <c r="C583" s="57">
        <f>AVERAGE(Tabla2691563[Width (mm)])</f>
        <v>61.116279069767444</v>
      </c>
      <c r="D583" s="57">
        <f>MAX(Tabla2691563[[Cluster number ]])</f>
        <v>8</v>
      </c>
      <c r="E583" s="57">
        <f>AVERAGE(Tabla2691563[Tomato average weight per cluster])</f>
        <v>94.164285714285711</v>
      </c>
      <c r="F583" s="58">
        <f>COUNTA(Tabla2691563["C12" PLANT])</f>
        <v>43</v>
      </c>
      <c r="G583" s="109">
        <f>SUM(Tabla2691563[Total cluster weight (g)])</f>
        <v>4044.5</v>
      </c>
    </row>
    <row r="585" spans="1:8" ht="14.7" thickBot="1" x14ac:dyDescent="0.6">
      <c r="A585" s="5" t="s">
        <v>25</v>
      </c>
      <c r="B585" t="s">
        <v>3</v>
      </c>
      <c r="C585" t="s">
        <v>4</v>
      </c>
      <c r="D585" t="s">
        <v>5</v>
      </c>
      <c r="E585" t="s">
        <v>6</v>
      </c>
      <c r="F585" t="s">
        <v>7</v>
      </c>
      <c r="G585" t="s">
        <v>8</v>
      </c>
      <c r="H585" t="s">
        <v>161</v>
      </c>
    </row>
    <row r="586" spans="1:8" x14ac:dyDescent="0.55000000000000004">
      <c r="A586" s="6" t="s">
        <v>9</v>
      </c>
      <c r="B586" s="9">
        <v>49</v>
      </c>
      <c r="C586" s="9">
        <v>61</v>
      </c>
      <c r="D586" s="21" t="s">
        <v>37</v>
      </c>
      <c r="E586" s="9">
        <v>1</v>
      </c>
      <c r="F586" s="9" t="s">
        <v>36</v>
      </c>
      <c r="G586" s="9"/>
      <c r="H586" s="12"/>
    </row>
    <row r="587" spans="1:8" x14ac:dyDescent="0.55000000000000004">
      <c r="A587" s="8" t="s">
        <v>10</v>
      </c>
      <c r="B587" s="9">
        <v>52</v>
      </c>
      <c r="C587" s="9">
        <v>65</v>
      </c>
      <c r="D587" s="21" t="s">
        <v>37</v>
      </c>
      <c r="E587" s="9">
        <v>1</v>
      </c>
      <c r="F587" s="9" t="s">
        <v>36</v>
      </c>
      <c r="G587" s="9"/>
      <c r="H587" s="9"/>
    </row>
    <row r="588" spans="1:8" x14ac:dyDescent="0.55000000000000004">
      <c r="A588" s="10" t="s">
        <v>11</v>
      </c>
      <c r="B588" s="9">
        <v>51</v>
      </c>
      <c r="C588" s="9">
        <v>64</v>
      </c>
      <c r="D588" s="21" t="s">
        <v>37</v>
      </c>
      <c r="E588" s="9">
        <v>1</v>
      </c>
      <c r="F588" s="9" t="s">
        <v>36</v>
      </c>
      <c r="G588" s="9"/>
      <c r="H588" s="9"/>
    </row>
    <row r="589" spans="1:8" x14ac:dyDescent="0.55000000000000004">
      <c r="A589" s="11" t="s">
        <v>12</v>
      </c>
      <c r="B589" s="9">
        <v>52</v>
      </c>
      <c r="C589" s="9">
        <v>65</v>
      </c>
      <c r="D589" s="21" t="s">
        <v>37</v>
      </c>
      <c r="E589" s="9">
        <v>1</v>
      </c>
      <c r="F589" s="9" t="s">
        <v>36</v>
      </c>
      <c r="G589" s="9"/>
      <c r="H589" s="9"/>
    </row>
    <row r="590" spans="1:8" ht="14.7" thickBot="1" x14ac:dyDescent="0.6">
      <c r="A590" s="13" t="s">
        <v>13</v>
      </c>
      <c r="B590" s="14">
        <v>53</v>
      </c>
      <c r="C590" s="14">
        <v>70</v>
      </c>
      <c r="D590" s="23" t="s">
        <v>37</v>
      </c>
      <c r="E590" s="14">
        <v>1</v>
      </c>
      <c r="F590" s="14" t="s">
        <v>36</v>
      </c>
      <c r="G590" s="14">
        <v>629.5</v>
      </c>
      <c r="H590" s="14">
        <f>Tabla2691664[[#This Row],[Total cluster weight (g)]]/COUNTA(A586:A590)</f>
        <v>125.9</v>
      </c>
    </row>
    <row r="591" spans="1:8" x14ac:dyDescent="0.55000000000000004">
      <c r="A591" s="6" t="s">
        <v>41</v>
      </c>
      <c r="B591" s="9">
        <v>52</v>
      </c>
      <c r="C591" s="9">
        <v>62</v>
      </c>
      <c r="D591" s="21" t="s">
        <v>37</v>
      </c>
      <c r="E591" s="9">
        <v>2</v>
      </c>
      <c r="F591" s="9" t="s">
        <v>35</v>
      </c>
      <c r="G591" s="9"/>
      <c r="H591" s="12"/>
    </row>
    <row r="592" spans="1:8" x14ac:dyDescent="0.55000000000000004">
      <c r="A592" s="8" t="s">
        <v>42</v>
      </c>
      <c r="B592" s="9">
        <v>53</v>
      </c>
      <c r="C592" s="9">
        <v>66</v>
      </c>
      <c r="D592" s="21" t="s">
        <v>37</v>
      </c>
      <c r="E592" s="9">
        <v>2</v>
      </c>
      <c r="F592" s="9" t="s">
        <v>35</v>
      </c>
      <c r="G592" s="9"/>
      <c r="H592" s="9"/>
    </row>
    <row r="593" spans="1:9" x14ac:dyDescent="0.55000000000000004">
      <c r="A593" s="10" t="s">
        <v>43</v>
      </c>
      <c r="B593" s="9">
        <v>52</v>
      </c>
      <c r="C593" s="9">
        <v>66</v>
      </c>
      <c r="D593" s="21" t="s">
        <v>37</v>
      </c>
      <c r="E593" s="9">
        <v>2</v>
      </c>
      <c r="F593" s="9" t="s">
        <v>36</v>
      </c>
      <c r="G593" s="9"/>
      <c r="H593" s="9"/>
    </row>
    <row r="594" spans="1:9" x14ac:dyDescent="0.55000000000000004">
      <c r="A594" s="34" t="s">
        <v>47</v>
      </c>
      <c r="B594" s="9">
        <v>51</v>
      </c>
      <c r="C594" s="9">
        <v>63</v>
      </c>
      <c r="D594" s="21" t="s">
        <v>37</v>
      </c>
      <c r="E594" s="9">
        <v>2</v>
      </c>
      <c r="F594" s="9" t="s">
        <v>36</v>
      </c>
      <c r="G594" s="9"/>
      <c r="H594" s="9"/>
    </row>
    <row r="595" spans="1:9" ht="14.7" thickBot="1" x14ac:dyDescent="0.6">
      <c r="A595" s="35" t="s">
        <v>48</v>
      </c>
      <c r="B595" s="14">
        <v>54</v>
      </c>
      <c r="C595" s="14">
        <v>72</v>
      </c>
      <c r="D595" s="23" t="s">
        <v>37</v>
      </c>
      <c r="E595" s="14">
        <v>2</v>
      </c>
      <c r="F595" s="14" t="s">
        <v>36</v>
      </c>
      <c r="G595" s="14">
        <v>594</v>
      </c>
      <c r="H595" s="14">
        <f>Tabla2691664[[#This Row],[Total cluster weight (g)]]/COUNTA(A591:A595)</f>
        <v>118.8</v>
      </c>
    </row>
    <row r="596" spans="1:9" x14ac:dyDescent="0.55000000000000004">
      <c r="A596" s="6" t="s">
        <v>49</v>
      </c>
      <c r="B596" s="9">
        <v>48</v>
      </c>
      <c r="C596" s="9">
        <v>58</v>
      </c>
      <c r="D596" s="21" t="s">
        <v>37</v>
      </c>
      <c r="E596" s="9">
        <v>3</v>
      </c>
      <c r="F596" s="9" t="s">
        <v>35</v>
      </c>
      <c r="G596" s="9"/>
      <c r="H596" s="12"/>
      <c r="I596" t="s">
        <v>56</v>
      </c>
    </row>
    <row r="597" spans="1:9" x14ac:dyDescent="0.55000000000000004">
      <c r="A597" s="8" t="s">
        <v>50</v>
      </c>
      <c r="B597" s="9">
        <v>50</v>
      </c>
      <c r="C597" s="9">
        <v>66</v>
      </c>
      <c r="D597" s="21" t="s">
        <v>37</v>
      </c>
      <c r="E597" s="9">
        <v>3</v>
      </c>
      <c r="F597" s="9" t="s">
        <v>36</v>
      </c>
      <c r="G597" s="9"/>
      <c r="H597" s="9"/>
    </row>
    <row r="598" spans="1:9" x14ac:dyDescent="0.55000000000000004">
      <c r="A598" s="10" t="s">
        <v>51</v>
      </c>
      <c r="B598" s="9">
        <v>55</v>
      </c>
      <c r="C598" s="9">
        <v>68</v>
      </c>
      <c r="D598" s="21" t="s">
        <v>37</v>
      </c>
      <c r="E598" s="9">
        <v>3</v>
      </c>
      <c r="F598" s="9" t="s">
        <v>36</v>
      </c>
      <c r="G598" s="9"/>
      <c r="H598" s="9"/>
    </row>
    <row r="599" spans="1:9" x14ac:dyDescent="0.55000000000000004">
      <c r="A599" s="11" t="s">
        <v>52</v>
      </c>
      <c r="B599" s="9">
        <v>52</v>
      </c>
      <c r="C599" s="9">
        <v>66</v>
      </c>
      <c r="D599" s="21" t="s">
        <v>37</v>
      </c>
      <c r="E599" s="9">
        <v>3</v>
      </c>
      <c r="F599" s="9" t="s">
        <v>36</v>
      </c>
      <c r="G599" s="9"/>
      <c r="H599" s="9"/>
    </row>
    <row r="600" spans="1:9" ht="14.7" thickBot="1" x14ac:dyDescent="0.6">
      <c r="A600" s="13" t="s">
        <v>53</v>
      </c>
      <c r="B600" s="14">
        <v>51</v>
      </c>
      <c r="C600" s="14">
        <v>70</v>
      </c>
      <c r="D600" s="23" t="s">
        <v>37</v>
      </c>
      <c r="E600" s="14">
        <v>3</v>
      </c>
      <c r="F600" s="14" t="s">
        <v>36</v>
      </c>
      <c r="G600" s="14">
        <v>592.5</v>
      </c>
      <c r="H600" s="14">
        <f>Tabla2691664[[#This Row],[Total cluster weight (g)]]/COUNTA(A596:A600)</f>
        <v>118.5</v>
      </c>
    </row>
    <row r="601" spans="1:9" x14ac:dyDescent="0.55000000000000004">
      <c r="A601" s="11" t="s">
        <v>80</v>
      </c>
      <c r="B601" s="9">
        <v>44</v>
      </c>
      <c r="C601" s="9">
        <v>60</v>
      </c>
      <c r="D601" s="21" t="s">
        <v>37</v>
      </c>
      <c r="E601" s="9">
        <v>4</v>
      </c>
      <c r="F601" s="9" t="s">
        <v>68</v>
      </c>
      <c r="G601" s="9"/>
      <c r="H601" s="12"/>
    </row>
    <row r="602" spans="1:9" x14ac:dyDescent="0.55000000000000004">
      <c r="A602" s="8" t="s">
        <v>81</v>
      </c>
      <c r="B602" s="9">
        <v>48</v>
      </c>
      <c r="C602" s="9">
        <v>59</v>
      </c>
      <c r="D602" s="21" t="s">
        <v>37</v>
      </c>
      <c r="E602" s="9">
        <v>4</v>
      </c>
      <c r="F602" s="9" t="s">
        <v>68</v>
      </c>
      <c r="G602" s="9"/>
      <c r="H602" s="9"/>
    </row>
    <row r="603" spans="1:9" x14ac:dyDescent="0.55000000000000004">
      <c r="A603" s="10" t="s">
        <v>66</v>
      </c>
      <c r="B603" s="9">
        <v>48</v>
      </c>
      <c r="C603" s="9">
        <v>61</v>
      </c>
      <c r="D603" s="21" t="s">
        <v>37</v>
      </c>
      <c r="E603" s="9">
        <v>4</v>
      </c>
      <c r="F603" s="9" t="s">
        <v>35</v>
      </c>
      <c r="G603" s="9"/>
      <c r="H603" s="9"/>
    </row>
    <row r="604" spans="1:9" x14ac:dyDescent="0.55000000000000004">
      <c r="A604" s="11" t="s">
        <v>67</v>
      </c>
      <c r="B604" s="9">
        <v>49</v>
      </c>
      <c r="C604" s="9">
        <v>62</v>
      </c>
      <c r="D604" s="21" t="s">
        <v>37</v>
      </c>
      <c r="E604" s="9">
        <v>4</v>
      </c>
      <c r="F604" s="9" t="s">
        <v>36</v>
      </c>
      <c r="G604" s="9"/>
      <c r="H604" s="9"/>
    </row>
    <row r="605" spans="1:9" ht="14.7" thickBot="1" x14ac:dyDescent="0.6">
      <c r="A605" s="13" t="s">
        <v>71</v>
      </c>
      <c r="B605" s="14">
        <v>51</v>
      </c>
      <c r="C605" s="14">
        <v>67</v>
      </c>
      <c r="D605" s="23" t="s">
        <v>37</v>
      </c>
      <c r="E605" s="14">
        <v>4</v>
      </c>
      <c r="F605" s="14" t="s">
        <v>36</v>
      </c>
      <c r="G605" s="14">
        <v>486</v>
      </c>
      <c r="H605" s="14">
        <f>Tabla2691664[[#This Row],[Total cluster weight (g)]]/COUNTA(A601:A605)</f>
        <v>97.2</v>
      </c>
    </row>
    <row r="606" spans="1:9" x14ac:dyDescent="0.55000000000000004">
      <c r="A606" s="6" t="s">
        <v>89</v>
      </c>
      <c r="B606" s="7">
        <v>40</v>
      </c>
      <c r="C606" s="7">
        <v>53</v>
      </c>
      <c r="D606" s="21" t="s">
        <v>37</v>
      </c>
      <c r="E606" s="9">
        <v>5</v>
      </c>
      <c r="F606" s="9" t="s">
        <v>61</v>
      </c>
      <c r="G606" s="9"/>
      <c r="H606" s="88"/>
    </row>
    <row r="607" spans="1:9" x14ac:dyDescent="0.55000000000000004">
      <c r="A607" s="8" t="s">
        <v>92</v>
      </c>
      <c r="B607" s="9">
        <v>42</v>
      </c>
      <c r="C607" s="9">
        <v>62</v>
      </c>
      <c r="D607" s="21" t="s">
        <v>37</v>
      </c>
      <c r="E607" s="9">
        <v>5</v>
      </c>
      <c r="F607" s="9" t="s">
        <v>35</v>
      </c>
      <c r="G607" s="9"/>
      <c r="H607" s="88"/>
    </row>
    <row r="608" spans="1:9" x14ac:dyDescent="0.55000000000000004">
      <c r="A608" s="10" t="s">
        <v>93</v>
      </c>
      <c r="B608" s="9">
        <v>47</v>
      </c>
      <c r="C608" s="9">
        <v>60</v>
      </c>
      <c r="D608" s="21" t="s">
        <v>37</v>
      </c>
      <c r="E608" s="9">
        <v>5</v>
      </c>
      <c r="F608" s="9" t="s">
        <v>35</v>
      </c>
      <c r="G608" s="9"/>
      <c r="H608" s="88"/>
    </row>
    <row r="609" spans="1:8" x14ac:dyDescent="0.55000000000000004">
      <c r="A609" s="11" t="s">
        <v>94</v>
      </c>
      <c r="B609" s="12">
        <v>47</v>
      </c>
      <c r="C609" s="12">
        <v>59</v>
      </c>
      <c r="D609" s="21" t="s">
        <v>37</v>
      </c>
      <c r="E609" s="9">
        <v>5</v>
      </c>
      <c r="F609" s="12" t="s">
        <v>36</v>
      </c>
      <c r="G609" s="9"/>
      <c r="H609" s="88"/>
    </row>
    <row r="610" spans="1:8" x14ac:dyDescent="0.55000000000000004">
      <c r="A610" s="10" t="s">
        <v>95</v>
      </c>
      <c r="B610" s="9">
        <v>47</v>
      </c>
      <c r="C610" s="9">
        <v>62</v>
      </c>
      <c r="D610" s="21" t="s">
        <v>37</v>
      </c>
      <c r="E610" s="9">
        <v>5</v>
      </c>
      <c r="F610" s="12" t="s">
        <v>36</v>
      </c>
      <c r="G610" s="9"/>
      <c r="H610" s="88"/>
    </row>
    <row r="611" spans="1:8" x14ac:dyDescent="0.55000000000000004">
      <c r="A611" s="11" t="s">
        <v>144</v>
      </c>
      <c r="B611" s="12">
        <v>50</v>
      </c>
      <c r="C611" s="12">
        <v>63</v>
      </c>
      <c r="D611" s="21" t="s">
        <v>37</v>
      </c>
      <c r="E611" s="9">
        <v>5</v>
      </c>
      <c r="F611" s="12" t="s">
        <v>36</v>
      </c>
      <c r="G611" s="9"/>
      <c r="H611" s="88"/>
    </row>
    <row r="612" spans="1:8" ht="14.7" thickBot="1" x14ac:dyDescent="0.6">
      <c r="A612" s="13" t="s">
        <v>150</v>
      </c>
      <c r="B612" s="14">
        <v>52</v>
      </c>
      <c r="C612" s="14">
        <v>67</v>
      </c>
      <c r="D612" s="23" t="s">
        <v>37</v>
      </c>
      <c r="E612" s="14">
        <v>5</v>
      </c>
      <c r="F612" s="14" t="s">
        <v>36</v>
      </c>
      <c r="G612" s="14">
        <v>647</v>
      </c>
      <c r="H612" s="14">
        <f>Tabla2691664[[#This Row],[Total cluster weight (g)]]/COUNTA(A606:A612)</f>
        <v>92.428571428571431</v>
      </c>
    </row>
    <row r="613" spans="1:8" x14ac:dyDescent="0.55000000000000004">
      <c r="A613" s="61" t="s">
        <v>151</v>
      </c>
      <c r="B613" s="9">
        <v>50</v>
      </c>
      <c r="C613" s="9">
        <v>64</v>
      </c>
      <c r="D613" s="21" t="s">
        <v>37</v>
      </c>
      <c r="E613" s="9">
        <v>6</v>
      </c>
      <c r="F613" s="9" t="s">
        <v>35</v>
      </c>
      <c r="G613" s="9"/>
      <c r="H613" s="88"/>
    </row>
    <row r="614" spans="1:8" x14ac:dyDescent="0.55000000000000004">
      <c r="A614" s="61" t="s">
        <v>152</v>
      </c>
      <c r="B614" s="9">
        <v>53</v>
      </c>
      <c r="C614" s="9">
        <v>66</v>
      </c>
      <c r="D614" s="21" t="s">
        <v>37</v>
      </c>
      <c r="E614" s="9">
        <v>6</v>
      </c>
      <c r="F614" s="9" t="s">
        <v>36</v>
      </c>
      <c r="G614" s="9"/>
      <c r="H614" s="88"/>
    </row>
    <row r="615" spans="1:8" x14ac:dyDescent="0.55000000000000004">
      <c r="A615" s="61" t="s">
        <v>153</v>
      </c>
      <c r="B615" s="9">
        <v>53</v>
      </c>
      <c r="C615" s="9">
        <v>70</v>
      </c>
      <c r="D615" s="21" t="s">
        <v>37</v>
      </c>
      <c r="E615" s="9">
        <v>6</v>
      </c>
      <c r="F615" s="9" t="s">
        <v>36</v>
      </c>
      <c r="G615" s="9"/>
      <c r="H615" s="88"/>
    </row>
    <row r="616" spans="1:8" x14ac:dyDescent="0.55000000000000004">
      <c r="A616" s="61" t="s">
        <v>158</v>
      </c>
      <c r="B616" s="9">
        <v>53</v>
      </c>
      <c r="C616" s="9">
        <v>69</v>
      </c>
      <c r="D616" s="21" t="s">
        <v>37</v>
      </c>
      <c r="E616" s="9">
        <v>6</v>
      </c>
      <c r="F616" s="9" t="s">
        <v>36</v>
      </c>
      <c r="G616" s="9"/>
      <c r="H616" s="88"/>
    </row>
    <row r="617" spans="1:8" ht="14.7" thickBot="1" x14ac:dyDescent="0.6">
      <c r="A617" s="94" t="s">
        <v>215</v>
      </c>
      <c r="B617" s="14">
        <v>51</v>
      </c>
      <c r="C617" s="14">
        <v>63</v>
      </c>
      <c r="D617" s="23" t="s">
        <v>37</v>
      </c>
      <c r="E617" s="14">
        <v>6</v>
      </c>
      <c r="F617" s="14" t="s">
        <v>36</v>
      </c>
      <c r="G617" s="14">
        <v>634.5</v>
      </c>
      <c r="H617" s="14">
        <f>Tabla2691664[[#This Row],[Total cluster weight (g)]]/COUNTA(A613:A617)</f>
        <v>126.9</v>
      </c>
    </row>
    <row r="618" spans="1:8" x14ac:dyDescent="0.55000000000000004">
      <c r="A618" s="61" t="s">
        <v>216</v>
      </c>
      <c r="B618" s="9">
        <v>47</v>
      </c>
      <c r="C618" s="9">
        <v>63</v>
      </c>
      <c r="D618" s="21" t="s">
        <v>37</v>
      </c>
      <c r="E618" s="9">
        <v>7</v>
      </c>
      <c r="F618" s="9" t="s">
        <v>35</v>
      </c>
      <c r="G618" s="9"/>
      <c r="H618" s="88"/>
    </row>
    <row r="619" spans="1:8" x14ac:dyDescent="0.55000000000000004">
      <c r="A619" s="61" t="s">
        <v>217</v>
      </c>
      <c r="B619" s="9">
        <v>49</v>
      </c>
      <c r="C619" s="9">
        <v>59</v>
      </c>
      <c r="D619" s="21" t="s">
        <v>37</v>
      </c>
      <c r="E619" s="9">
        <v>7</v>
      </c>
      <c r="F619" s="9" t="s">
        <v>36</v>
      </c>
      <c r="G619" s="9"/>
      <c r="H619" s="88"/>
    </row>
    <row r="620" spans="1:8" x14ac:dyDescent="0.55000000000000004">
      <c r="A620" s="61" t="s">
        <v>218</v>
      </c>
      <c r="B620" s="9">
        <v>49</v>
      </c>
      <c r="C620" s="9">
        <v>63</v>
      </c>
      <c r="D620" s="21" t="s">
        <v>37</v>
      </c>
      <c r="E620" s="9">
        <v>7</v>
      </c>
      <c r="F620" s="9" t="s">
        <v>36</v>
      </c>
      <c r="G620" s="9"/>
      <c r="H620" s="88"/>
    </row>
    <row r="621" spans="1:8" x14ac:dyDescent="0.55000000000000004">
      <c r="A621" s="61" t="s">
        <v>219</v>
      </c>
      <c r="B621" s="9">
        <v>50</v>
      </c>
      <c r="C621" s="9">
        <v>67</v>
      </c>
      <c r="D621" s="21" t="s">
        <v>37</v>
      </c>
      <c r="E621" s="9">
        <v>7</v>
      </c>
      <c r="F621" s="9" t="s">
        <v>36</v>
      </c>
      <c r="G621" s="9"/>
      <c r="H621" s="88"/>
    </row>
    <row r="622" spans="1:8" ht="14.7" thickBot="1" x14ac:dyDescent="0.6">
      <c r="A622" s="94" t="s">
        <v>222</v>
      </c>
      <c r="B622" s="14">
        <v>48</v>
      </c>
      <c r="C622" s="14">
        <v>57</v>
      </c>
      <c r="D622" s="23" t="s">
        <v>37</v>
      </c>
      <c r="E622" s="14">
        <v>7</v>
      </c>
      <c r="F622" s="14" t="s">
        <v>36</v>
      </c>
      <c r="G622" s="14">
        <v>518.5</v>
      </c>
      <c r="H622" s="102">
        <f>Tabla2691664[[#This Row],[Total cluster weight (g)]]/COUNTA(A618:A622)</f>
        <v>103.7</v>
      </c>
    </row>
    <row r="623" spans="1:8" x14ac:dyDescent="0.55000000000000004">
      <c r="A623" s="61" t="s">
        <v>223</v>
      </c>
      <c r="B623" s="9">
        <v>50</v>
      </c>
      <c r="C623" s="9">
        <v>61</v>
      </c>
      <c r="D623" s="21" t="s">
        <v>37</v>
      </c>
      <c r="E623" s="9">
        <v>8</v>
      </c>
      <c r="F623" s="9" t="s">
        <v>35</v>
      </c>
      <c r="G623" s="9"/>
      <c r="H623" s="88"/>
    </row>
    <row r="624" spans="1:8" x14ac:dyDescent="0.55000000000000004">
      <c r="A624" s="61" t="s">
        <v>232</v>
      </c>
      <c r="B624" s="9">
        <v>49</v>
      </c>
      <c r="C624" s="9">
        <v>59</v>
      </c>
      <c r="D624" s="21" t="s">
        <v>37</v>
      </c>
      <c r="E624" s="9">
        <v>8</v>
      </c>
      <c r="F624" s="9" t="s">
        <v>36</v>
      </c>
      <c r="G624" s="9"/>
      <c r="H624" s="88"/>
    </row>
    <row r="625" spans="1:8" x14ac:dyDescent="0.55000000000000004">
      <c r="A625" s="61" t="s">
        <v>233</v>
      </c>
      <c r="B625" s="9">
        <v>52</v>
      </c>
      <c r="C625" s="9">
        <v>65</v>
      </c>
      <c r="D625" s="21" t="s">
        <v>37</v>
      </c>
      <c r="E625" s="9">
        <v>8</v>
      </c>
      <c r="F625" s="9" t="s">
        <v>36</v>
      </c>
      <c r="G625" s="9"/>
      <c r="H625" s="88"/>
    </row>
    <row r="626" spans="1:8" x14ac:dyDescent="0.55000000000000004">
      <c r="A626" s="61" t="s">
        <v>234</v>
      </c>
      <c r="B626" s="9">
        <v>54</v>
      </c>
      <c r="C626" s="9">
        <v>68</v>
      </c>
      <c r="D626" s="21" t="s">
        <v>37</v>
      </c>
      <c r="E626" s="9">
        <v>8</v>
      </c>
      <c r="F626" s="9" t="s">
        <v>36</v>
      </c>
      <c r="G626" s="9"/>
      <c r="H626" s="88"/>
    </row>
    <row r="627" spans="1:8" ht="14.7" thickBot="1" x14ac:dyDescent="0.6">
      <c r="A627" s="94" t="s">
        <v>235</v>
      </c>
      <c r="B627" s="14">
        <v>53</v>
      </c>
      <c r="C627" s="14">
        <v>70</v>
      </c>
      <c r="D627" s="23" t="s">
        <v>37</v>
      </c>
      <c r="E627" s="14">
        <v>8</v>
      </c>
      <c r="F627" s="14" t="s">
        <v>36</v>
      </c>
      <c r="G627" s="14">
        <v>595.5</v>
      </c>
      <c r="H627" s="102">
        <f>Tabla2691664[[#This Row],[Total cluster weight (g)]]/COUNTA(A623:A627)</f>
        <v>119.1</v>
      </c>
    </row>
    <row r="628" spans="1:8" x14ac:dyDescent="0.55000000000000004">
      <c r="A628" s="6" t="s">
        <v>236</v>
      </c>
      <c r="B628" s="9">
        <v>52</v>
      </c>
      <c r="C628" s="9">
        <v>66</v>
      </c>
      <c r="D628" s="21" t="s">
        <v>37</v>
      </c>
      <c r="E628" s="9">
        <v>9</v>
      </c>
      <c r="F628" s="9" t="s">
        <v>35</v>
      </c>
      <c r="G628" s="9"/>
      <c r="H628" s="88"/>
    </row>
    <row r="629" spans="1:8" x14ac:dyDescent="0.55000000000000004">
      <c r="A629" s="8" t="s">
        <v>248</v>
      </c>
      <c r="B629" s="9">
        <v>54</v>
      </c>
      <c r="C629" s="9">
        <v>68</v>
      </c>
      <c r="D629" s="21" t="s">
        <v>37</v>
      </c>
      <c r="E629" s="9">
        <v>9</v>
      </c>
      <c r="F629" s="9" t="s">
        <v>35</v>
      </c>
      <c r="G629" s="9"/>
      <c r="H629" s="88"/>
    </row>
    <row r="630" spans="1:8" x14ac:dyDescent="0.55000000000000004">
      <c r="A630" s="10" t="s">
        <v>249</v>
      </c>
      <c r="B630" s="9">
        <v>55</v>
      </c>
      <c r="C630" s="9">
        <v>69</v>
      </c>
      <c r="D630" s="21" t="s">
        <v>37</v>
      </c>
      <c r="E630" s="9">
        <v>9</v>
      </c>
      <c r="F630" s="9" t="s">
        <v>36</v>
      </c>
      <c r="G630" s="9"/>
      <c r="H630" s="88"/>
    </row>
    <row r="631" spans="1:8" x14ac:dyDescent="0.55000000000000004">
      <c r="A631" s="11" t="s">
        <v>250</v>
      </c>
      <c r="B631" s="9">
        <v>54</v>
      </c>
      <c r="C631" s="9">
        <v>66</v>
      </c>
      <c r="D631" s="21" t="s">
        <v>37</v>
      </c>
      <c r="E631" s="9">
        <v>9</v>
      </c>
      <c r="F631" s="9" t="s">
        <v>36</v>
      </c>
      <c r="G631" s="9"/>
      <c r="H631" s="88"/>
    </row>
    <row r="632" spans="1:8" ht="14.7" thickBot="1" x14ac:dyDescent="0.6">
      <c r="A632" s="13" t="s">
        <v>255</v>
      </c>
      <c r="B632" s="14">
        <v>55</v>
      </c>
      <c r="C632" s="14">
        <v>71</v>
      </c>
      <c r="D632" s="23" t="s">
        <v>37</v>
      </c>
      <c r="E632" s="14">
        <v>9</v>
      </c>
      <c r="F632" s="14" t="s">
        <v>36</v>
      </c>
      <c r="G632" s="14">
        <v>694</v>
      </c>
      <c r="H632" s="102">
        <f>Tabla2691664[[#This Row],[Total cluster weight (g)]]/COUNTA(A628:A632)</f>
        <v>138.80000000000001</v>
      </c>
    </row>
    <row r="633" spans="1:8" x14ac:dyDescent="0.55000000000000004">
      <c r="A633" s="29"/>
      <c r="B633" s="30"/>
      <c r="C633" s="30"/>
      <c r="D633" s="31"/>
      <c r="E633" s="30"/>
      <c r="F633" s="30"/>
      <c r="G633" s="30"/>
    </row>
    <row r="634" spans="1:8" x14ac:dyDescent="0.55000000000000004">
      <c r="A634" s="59" t="s">
        <v>177</v>
      </c>
      <c r="B634" s="55" t="s">
        <v>162</v>
      </c>
      <c r="C634" s="55" t="s">
        <v>163</v>
      </c>
      <c r="D634" s="55" t="s">
        <v>164</v>
      </c>
      <c r="E634" s="55" t="s">
        <v>165</v>
      </c>
      <c r="F634" s="56" t="s">
        <v>189</v>
      </c>
      <c r="G634" s="110" t="s">
        <v>230</v>
      </c>
    </row>
    <row r="635" spans="1:8" x14ac:dyDescent="0.55000000000000004">
      <c r="A635" s="60" t="s">
        <v>166</v>
      </c>
      <c r="B635" s="57">
        <f>AVERAGE(Tabla2691664[Height (mm)])</f>
        <v>50.446808510638299</v>
      </c>
      <c r="C635" s="57">
        <f>AVERAGE(Tabla2691664[Width (mm)])</f>
        <v>64.276595744680847</v>
      </c>
      <c r="D635" s="57">
        <f>MAX(Tabla2691664[[Cluster number ]])</f>
        <v>9</v>
      </c>
      <c r="E635" s="57">
        <f>AVERAGE(Tabla2691664[Tomato average weight per cluster])</f>
        <v>115.7031746031746</v>
      </c>
      <c r="F635" s="58">
        <f>COUNTA(Tabla2691664["C13" PLANT])</f>
        <v>47</v>
      </c>
      <c r="G635" s="109">
        <f>SUM(Tabla2691664[Total cluster weight (g)])</f>
        <v>5391.5</v>
      </c>
    </row>
    <row r="637" spans="1:8" ht="14.7" thickBot="1" x14ac:dyDescent="0.6">
      <c r="A637" s="5" t="s">
        <v>26</v>
      </c>
      <c r="B637" t="s">
        <v>3</v>
      </c>
      <c r="C637" t="s">
        <v>4</v>
      </c>
      <c r="D637" t="s">
        <v>5</v>
      </c>
      <c r="E637" t="s">
        <v>6</v>
      </c>
      <c r="F637" t="s">
        <v>7</v>
      </c>
      <c r="G637" t="s">
        <v>8</v>
      </c>
      <c r="H637" t="s">
        <v>161</v>
      </c>
    </row>
    <row r="638" spans="1:8" x14ac:dyDescent="0.55000000000000004">
      <c r="A638" s="6" t="s">
        <v>9</v>
      </c>
      <c r="B638" s="7">
        <v>46</v>
      </c>
      <c r="C638" s="7">
        <v>56</v>
      </c>
      <c r="D638" s="28" t="s">
        <v>37</v>
      </c>
      <c r="E638" s="9">
        <v>1</v>
      </c>
      <c r="F638" s="9" t="s">
        <v>35</v>
      </c>
      <c r="G638" s="9"/>
      <c r="H638" s="12"/>
    </row>
    <row r="639" spans="1:8" x14ac:dyDescent="0.55000000000000004">
      <c r="A639" s="8" t="s">
        <v>10</v>
      </c>
      <c r="B639" s="9">
        <v>49</v>
      </c>
      <c r="C639" s="9">
        <v>58</v>
      </c>
      <c r="D639" s="28" t="s">
        <v>37</v>
      </c>
      <c r="E639" s="9">
        <v>1</v>
      </c>
      <c r="F639" s="9" t="s">
        <v>35</v>
      </c>
      <c r="G639" s="9"/>
      <c r="H639" s="9"/>
    </row>
    <row r="640" spans="1:8" x14ac:dyDescent="0.55000000000000004">
      <c r="A640" s="10" t="s">
        <v>11</v>
      </c>
      <c r="B640" s="9">
        <v>47</v>
      </c>
      <c r="C640" s="9">
        <v>56</v>
      </c>
      <c r="D640" s="28" t="s">
        <v>37</v>
      </c>
      <c r="E640" s="9">
        <v>1</v>
      </c>
      <c r="F640" s="9" t="s">
        <v>36</v>
      </c>
      <c r="G640" s="9"/>
      <c r="H640" s="9"/>
    </row>
    <row r="641" spans="1:9" x14ac:dyDescent="0.55000000000000004">
      <c r="A641" s="11" t="s">
        <v>12</v>
      </c>
      <c r="B641" s="12">
        <v>50</v>
      </c>
      <c r="C641" s="12">
        <v>63</v>
      </c>
      <c r="D641" s="28" t="s">
        <v>37</v>
      </c>
      <c r="E641" s="9">
        <v>1</v>
      </c>
      <c r="F641" s="9" t="s">
        <v>36</v>
      </c>
      <c r="G641" s="9"/>
      <c r="H641" s="9"/>
    </row>
    <row r="642" spans="1:9" ht="14.7" thickBot="1" x14ac:dyDescent="0.6">
      <c r="A642" s="13" t="s">
        <v>13</v>
      </c>
      <c r="B642" s="14">
        <v>51</v>
      </c>
      <c r="C642" s="14">
        <v>60</v>
      </c>
      <c r="D642" s="23" t="s">
        <v>37</v>
      </c>
      <c r="E642" s="14">
        <v>1</v>
      </c>
      <c r="F642" s="14" t="s">
        <v>36</v>
      </c>
      <c r="G642" s="14">
        <v>453</v>
      </c>
      <c r="H642" s="14">
        <f>Tabla269161765[[#This Row],[Total cluster weight (g)]]/COUNTA(A638:A642)</f>
        <v>90.6</v>
      </c>
    </row>
    <row r="643" spans="1:9" x14ac:dyDescent="0.55000000000000004">
      <c r="A643" s="6" t="s">
        <v>41</v>
      </c>
      <c r="B643" s="9">
        <v>54</v>
      </c>
      <c r="C643" s="9">
        <v>61</v>
      </c>
      <c r="D643" s="28" t="s">
        <v>37</v>
      </c>
      <c r="E643" s="9">
        <v>2</v>
      </c>
      <c r="F643" s="9" t="s">
        <v>36</v>
      </c>
      <c r="G643" s="9"/>
      <c r="H643" s="12"/>
    </row>
    <row r="644" spans="1:9" x14ac:dyDescent="0.55000000000000004">
      <c r="A644" s="8" t="s">
        <v>42</v>
      </c>
      <c r="B644" s="9">
        <v>51</v>
      </c>
      <c r="C644" s="9">
        <v>61</v>
      </c>
      <c r="D644" s="21" t="s">
        <v>37</v>
      </c>
      <c r="E644" s="9">
        <v>2</v>
      </c>
      <c r="F644" s="9" t="s">
        <v>36</v>
      </c>
      <c r="G644" s="9"/>
      <c r="H644" s="9"/>
    </row>
    <row r="645" spans="1:9" x14ac:dyDescent="0.55000000000000004">
      <c r="A645" s="10" t="s">
        <v>43</v>
      </c>
      <c r="B645" s="9">
        <v>50</v>
      </c>
      <c r="C645" s="9">
        <v>59</v>
      </c>
      <c r="D645" s="21" t="s">
        <v>37</v>
      </c>
      <c r="E645" s="9">
        <v>2</v>
      </c>
      <c r="F645" s="9" t="s">
        <v>36</v>
      </c>
      <c r="G645" s="9"/>
      <c r="H645" s="9"/>
    </row>
    <row r="646" spans="1:9" x14ac:dyDescent="0.55000000000000004">
      <c r="A646" s="11" t="s">
        <v>47</v>
      </c>
      <c r="B646" s="9">
        <v>47</v>
      </c>
      <c r="C646" s="9">
        <v>54</v>
      </c>
      <c r="D646" s="21" t="s">
        <v>37</v>
      </c>
      <c r="E646" s="9">
        <v>2</v>
      </c>
      <c r="F646" s="9" t="s">
        <v>36</v>
      </c>
      <c r="G646" s="9"/>
      <c r="H646" s="9"/>
    </row>
    <row r="647" spans="1:9" ht="14.7" thickBot="1" x14ac:dyDescent="0.6">
      <c r="A647" s="13" t="s">
        <v>48</v>
      </c>
      <c r="B647" s="14">
        <v>52</v>
      </c>
      <c r="C647" s="14">
        <v>58</v>
      </c>
      <c r="D647" s="23" t="s">
        <v>37</v>
      </c>
      <c r="E647" s="14">
        <v>2</v>
      </c>
      <c r="F647" s="14" t="s">
        <v>36</v>
      </c>
      <c r="G647" s="14">
        <v>460</v>
      </c>
      <c r="H647" s="14">
        <f>Tabla269161765[[#This Row],[Total cluster weight (g)]]/COUNTA(A643:A647)</f>
        <v>92</v>
      </c>
    </row>
    <row r="648" spans="1:9" x14ac:dyDescent="0.55000000000000004">
      <c r="A648" s="6" t="s">
        <v>90</v>
      </c>
      <c r="B648" s="9">
        <v>42</v>
      </c>
      <c r="C648" s="9">
        <v>52</v>
      </c>
      <c r="D648" s="28" t="s">
        <v>37</v>
      </c>
      <c r="E648" s="9">
        <v>3</v>
      </c>
      <c r="F648" s="9" t="s">
        <v>61</v>
      </c>
      <c r="G648" s="9"/>
      <c r="H648" s="12"/>
      <c r="I648" t="s">
        <v>56</v>
      </c>
    </row>
    <row r="649" spans="1:9" x14ac:dyDescent="0.55000000000000004">
      <c r="A649" s="10" t="s">
        <v>76</v>
      </c>
      <c r="B649" s="9">
        <v>44</v>
      </c>
      <c r="C649" s="9">
        <v>58</v>
      </c>
      <c r="D649" s="21" t="s">
        <v>37</v>
      </c>
      <c r="E649" s="9">
        <v>3</v>
      </c>
      <c r="F649" s="9" t="s">
        <v>68</v>
      </c>
      <c r="G649" s="9"/>
      <c r="H649" s="9"/>
    </row>
    <row r="650" spans="1:9" x14ac:dyDescent="0.55000000000000004">
      <c r="A650" s="10" t="s">
        <v>91</v>
      </c>
      <c r="B650" s="9">
        <v>47</v>
      </c>
      <c r="C650" s="9">
        <v>56</v>
      </c>
      <c r="D650" s="21" t="s">
        <v>37</v>
      </c>
      <c r="E650" s="9">
        <v>3</v>
      </c>
      <c r="F650" s="9" t="s">
        <v>35</v>
      </c>
      <c r="G650" s="9"/>
      <c r="H650" s="9"/>
    </row>
    <row r="651" spans="1:9" x14ac:dyDescent="0.55000000000000004">
      <c r="A651" s="11" t="s">
        <v>52</v>
      </c>
      <c r="B651" s="9">
        <v>48</v>
      </c>
      <c r="C651" s="9">
        <v>58</v>
      </c>
      <c r="D651" s="21" t="s">
        <v>37</v>
      </c>
      <c r="E651" s="9">
        <v>3</v>
      </c>
      <c r="F651" s="9" t="s">
        <v>36</v>
      </c>
      <c r="G651" s="9"/>
      <c r="H651" s="9"/>
    </row>
    <row r="652" spans="1:9" ht="14.7" thickBot="1" x14ac:dyDescent="0.6">
      <c r="A652" s="13" t="s">
        <v>53</v>
      </c>
      <c r="B652" s="14">
        <v>51</v>
      </c>
      <c r="C652" s="14">
        <v>60</v>
      </c>
      <c r="D652" s="23" t="s">
        <v>37</v>
      </c>
      <c r="E652" s="14">
        <v>3</v>
      </c>
      <c r="F652" s="14" t="s">
        <v>36</v>
      </c>
      <c r="G652" s="14">
        <v>379</v>
      </c>
      <c r="H652" s="14">
        <f>Tabla269161765[[#This Row],[Total cluster weight (g)]]/COUNTA(A648:A652)</f>
        <v>75.8</v>
      </c>
    </row>
    <row r="653" spans="1:9" x14ac:dyDescent="0.55000000000000004">
      <c r="A653" s="6" t="s">
        <v>80</v>
      </c>
      <c r="B653" s="7">
        <v>52</v>
      </c>
      <c r="C653" s="7">
        <v>57</v>
      </c>
      <c r="D653" s="21" t="s">
        <v>37</v>
      </c>
      <c r="E653" s="9">
        <v>4</v>
      </c>
      <c r="F653" s="9" t="s">
        <v>35</v>
      </c>
      <c r="G653" s="9"/>
      <c r="H653" s="88"/>
    </row>
    <row r="654" spans="1:9" x14ac:dyDescent="0.55000000000000004">
      <c r="A654" s="8" t="s">
        <v>81</v>
      </c>
      <c r="B654" s="9">
        <v>52</v>
      </c>
      <c r="C654" s="9">
        <v>62</v>
      </c>
      <c r="D654" s="21" t="s">
        <v>37</v>
      </c>
      <c r="E654" s="9">
        <v>4</v>
      </c>
      <c r="F654" s="9" t="s">
        <v>35</v>
      </c>
      <c r="G654" s="9"/>
      <c r="H654" s="88"/>
    </row>
    <row r="655" spans="1:9" x14ac:dyDescent="0.55000000000000004">
      <c r="A655" s="10" t="s">
        <v>66</v>
      </c>
      <c r="B655" s="9">
        <v>49</v>
      </c>
      <c r="C655" s="9">
        <v>63</v>
      </c>
      <c r="D655" s="21" t="s">
        <v>37</v>
      </c>
      <c r="E655" s="9">
        <v>4</v>
      </c>
      <c r="F655" s="9" t="s">
        <v>35</v>
      </c>
      <c r="G655" s="9"/>
      <c r="H655" s="88"/>
    </row>
    <row r="656" spans="1:9" ht="14.7" thickBot="1" x14ac:dyDescent="0.6">
      <c r="A656" s="13" t="s">
        <v>67</v>
      </c>
      <c r="B656" s="14">
        <v>52</v>
      </c>
      <c r="C656" s="14">
        <v>62</v>
      </c>
      <c r="D656" s="23" t="s">
        <v>37</v>
      </c>
      <c r="E656" s="14">
        <v>4</v>
      </c>
      <c r="F656" s="14" t="s">
        <v>36</v>
      </c>
      <c r="G656" s="14">
        <v>389.5</v>
      </c>
      <c r="H656" s="14">
        <f>Tabla269161765[[#This Row],[Total cluster weight (g)]]/COUNTA(A653:A656)</f>
        <v>97.375</v>
      </c>
    </row>
    <row r="657" spans="1:8" x14ac:dyDescent="0.55000000000000004">
      <c r="A657" s="6" t="s">
        <v>71</v>
      </c>
      <c r="B657" s="7">
        <v>46</v>
      </c>
      <c r="C657" s="7">
        <v>56</v>
      </c>
      <c r="D657" s="21" t="s">
        <v>37</v>
      </c>
      <c r="E657" s="9">
        <v>5</v>
      </c>
      <c r="F657" s="9" t="s">
        <v>36</v>
      </c>
      <c r="G657" s="9"/>
      <c r="H657" s="93"/>
    </row>
    <row r="658" spans="1:8" x14ac:dyDescent="0.55000000000000004">
      <c r="A658" s="8" t="s">
        <v>89</v>
      </c>
      <c r="B658" s="9">
        <v>48</v>
      </c>
      <c r="C658" s="9">
        <v>57</v>
      </c>
      <c r="D658" s="21" t="s">
        <v>37</v>
      </c>
      <c r="E658" s="9">
        <v>5</v>
      </c>
      <c r="F658" s="9" t="s">
        <v>36</v>
      </c>
      <c r="G658" s="9"/>
      <c r="H658" s="88"/>
    </row>
    <row r="659" spans="1:8" x14ac:dyDescent="0.55000000000000004">
      <c r="A659" s="10" t="s">
        <v>92</v>
      </c>
      <c r="B659" s="9">
        <v>50</v>
      </c>
      <c r="C659" s="9">
        <v>55</v>
      </c>
      <c r="D659" s="21" t="s">
        <v>37</v>
      </c>
      <c r="E659" s="9">
        <v>5</v>
      </c>
      <c r="F659" s="9" t="s">
        <v>36</v>
      </c>
      <c r="G659" s="9"/>
      <c r="H659" s="88"/>
    </row>
    <row r="660" spans="1:8" x14ac:dyDescent="0.55000000000000004">
      <c r="A660" s="11" t="s">
        <v>93</v>
      </c>
      <c r="B660" s="12">
        <v>51</v>
      </c>
      <c r="C660" s="12">
        <v>58</v>
      </c>
      <c r="D660" s="21" t="s">
        <v>37</v>
      </c>
      <c r="E660" s="9">
        <v>5</v>
      </c>
      <c r="F660" s="9" t="s">
        <v>36</v>
      </c>
      <c r="G660" s="9"/>
      <c r="H660" s="88"/>
    </row>
    <row r="661" spans="1:8" ht="14.7" thickBot="1" x14ac:dyDescent="0.6">
      <c r="A661" s="13" t="s">
        <v>94</v>
      </c>
      <c r="B661" s="14">
        <v>54</v>
      </c>
      <c r="C661" s="14">
        <v>62</v>
      </c>
      <c r="D661" s="23" t="s">
        <v>37</v>
      </c>
      <c r="E661" s="14">
        <v>5</v>
      </c>
      <c r="F661" s="14" t="s">
        <v>36</v>
      </c>
      <c r="G661" s="14">
        <v>432</v>
      </c>
      <c r="H661" s="14">
        <f>Tabla269161765[[#This Row],[Total cluster weight (g)]]/COUNTA(A657:A661)</f>
        <v>86.4</v>
      </c>
    </row>
    <row r="662" spans="1:8" x14ac:dyDescent="0.55000000000000004">
      <c r="A662" s="61" t="s">
        <v>95</v>
      </c>
      <c r="B662" s="9">
        <v>54</v>
      </c>
      <c r="C662" s="9">
        <v>61</v>
      </c>
      <c r="D662" s="28" t="s">
        <v>37</v>
      </c>
      <c r="E662" s="9">
        <v>6</v>
      </c>
      <c r="F662" s="9" t="s">
        <v>36</v>
      </c>
      <c r="G662" s="9"/>
      <c r="H662" s="88"/>
    </row>
    <row r="663" spans="1:8" x14ac:dyDescent="0.55000000000000004">
      <c r="A663" s="61" t="s">
        <v>144</v>
      </c>
      <c r="B663" s="9">
        <v>51</v>
      </c>
      <c r="C663" s="9">
        <v>60</v>
      </c>
      <c r="D663" s="28" t="s">
        <v>37</v>
      </c>
      <c r="E663" s="9">
        <v>6</v>
      </c>
      <c r="F663" s="9" t="s">
        <v>36</v>
      </c>
      <c r="G663" s="9"/>
      <c r="H663" s="88"/>
    </row>
    <row r="664" spans="1:8" x14ac:dyDescent="0.55000000000000004">
      <c r="A664" s="61" t="s">
        <v>150</v>
      </c>
      <c r="B664" s="9">
        <v>54</v>
      </c>
      <c r="C664" s="9">
        <v>64</v>
      </c>
      <c r="D664" s="28" t="s">
        <v>37</v>
      </c>
      <c r="E664" s="9">
        <v>6</v>
      </c>
      <c r="F664" s="9" t="s">
        <v>36</v>
      </c>
      <c r="G664" s="9"/>
      <c r="H664" s="88"/>
    </row>
    <row r="665" spans="1:8" ht="14.7" thickBot="1" x14ac:dyDescent="0.6">
      <c r="A665" s="94" t="s">
        <v>151</v>
      </c>
      <c r="B665" s="14">
        <v>55</v>
      </c>
      <c r="C665" s="14">
        <v>65</v>
      </c>
      <c r="D665" s="26" t="s">
        <v>37</v>
      </c>
      <c r="E665" s="14">
        <v>6</v>
      </c>
      <c r="F665" s="14" t="s">
        <v>36</v>
      </c>
      <c r="G665" s="14">
        <v>435</v>
      </c>
      <c r="H665" s="102">
        <f>Tabla269161765[[#This Row],[Total cluster weight (g)]]/COUNTA(A662:A665)</f>
        <v>108.75</v>
      </c>
    </row>
    <row r="666" spans="1:8" x14ac:dyDescent="0.55000000000000004">
      <c r="A666" s="61" t="s">
        <v>152</v>
      </c>
      <c r="B666" s="9">
        <v>53</v>
      </c>
      <c r="C666" s="9">
        <v>59</v>
      </c>
      <c r="D666" s="28" t="s">
        <v>37</v>
      </c>
      <c r="E666" s="9">
        <v>7</v>
      </c>
      <c r="F666" s="9" t="s">
        <v>35</v>
      </c>
      <c r="G666" s="9"/>
      <c r="H666" s="88"/>
    </row>
    <row r="667" spans="1:8" x14ac:dyDescent="0.55000000000000004">
      <c r="A667" s="61" t="s">
        <v>153</v>
      </c>
      <c r="B667" s="9">
        <v>54</v>
      </c>
      <c r="C667" s="9">
        <v>60</v>
      </c>
      <c r="D667" s="28" t="s">
        <v>37</v>
      </c>
      <c r="E667" s="9">
        <v>7</v>
      </c>
      <c r="F667" s="9" t="s">
        <v>35</v>
      </c>
      <c r="G667" s="9"/>
      <c r="H667" s="88"/>
    </row>
    <row r="668" spans="1:8" x14ac:dyDescent="0.55000000000000004">
      <c r="A668" s="61" t="s">
        <v>158</v>
      </c>
      <c r="B668" s="9">
        <v>55</v>
      </c>
      <c r="C668" s="9">
        <v>62</v>
      </c>
      <c r="D668" s="28" t="s">
        <v>37</v>
      </c>
      <c r="E668" s="9">
        <v>7</v>
      </c>
      <c r="F668" s="9" t="s">
        <v>35</v>
      </c>
      <c r="G668" s="9"/>
      <c r="H668" s="88"/>
    </row>
    <row r="669" spans="1:8" x14ac:dyDescent="0.55000000000000004">
      <c r="A669" s="61" t="s">
        <v>215</v>
      </c>
      <c r="B669" s="9">
        <v>54</v>
      </c>
      <c r="C669" s="9">
        <v>63</v>
      </c>
      <c r="D669" s="28" t="s">
        <v>37</v>
      </c>
      <c r="E669" s="9">
        <v>7</v>
      </c>
      <c r="F669" s="9" t="s">
        <v>35</v>
      </c>
      <c r="G669" s="9"/>
      <c r="H669" s="88"/>
    </row>
    <row r="670" spans="1:8" ht="14.7" thickBot="1" x14ac:dyDescent="0.6">
      <c r="A670" s="94" t="s">
        <v>216</v>
      </c>
      <c r="B670" s="14">
        <v>56</v>
      </c>
      <c r="C670" s="14">
        <v>63</v>
      </c>
      <c r="D670" s="26" t="s">
        <v>37</v>
      </c>
      <c r="E670" s="14">
        <v>7</v>
      </c>
      <c r="F670" s="14" t="s">
        <v>35</v>
      </c>
      <c r="G670" s="14">
        <v>553.5</v>
      </c>
      <c r="H670" s="102">
        <f>Tabla269161765[[#This Row],[Total cluster weight (g)]]/COUNTA(A666:A670)</f>
        <v>110.7</v>
      </c>
    </row>
    <row r="671" spans="1:8" x14ac:dyDescent="0.55000000000000004">
      <c r="A671" s="6" t="s">
        <v>217</v>
      </c>
      <c r="B671" s="9">
        <v>56</v>
      </c>
      <c r="C671" s="9">
        <v>63</v>
      </c>
      <c r="D671" s="28" t="s">
        <v>37</v>
      </c>
      <c r="E671" s="9">
        <v>8</v>
      </c>
      <c r="F671" s="9" t="s">
        <v>35</v>
      </c>
      <c r="G671" s="9"/>
      <c r="H671" s="88"/>
    </row>
    <row r="672" spans="1:8" x14ac:dyDescent="0.55000000000000004">
      <c r="A672" s="8" t="s">
        <v>218</v>
      </c>
      <c r="B672" s="9">
        <v>56</v>
      </c>
      <c r="C672" s="9">
        <v>62</v>
      </c>
      <c r="D672" s="28" t="s">
        <v>37</v>
      </c>
      <c r="E672" s="9">
        <v>8</v>
      </c>
      <c r="F672" s="9" t="s">
        <v>35</v>
      </c>
      <c r="G672" s="9"/>
      <c r="H672" s="88"/>
    </row>
    <row r="673" spans="1:9" x14ac:dyDescent="0.55000000000000004">
      <c r="A673" s="10" t="s">
        <v>219</v>
      </c>
      <c r="B673" s="9">
        <v>56</v>
      </c>
      <c r="C673" s="9">
        <v>63</v>
      </c>
      <c r="D673" s="28" t="s">
        <v>37</v>
      </c>
      <c r="E673" s="9">
        <v>8</v>
      </c>
      <c r="F673" s="9" t="s">
        <v>35</v>
      </c>
      <c r="G673" s="9"/>
      <c r="H673" s="88"/>
    </row>
    <row r="674" spans="1:9" ht="14.7" thickBot="1" x14ac:dyDescent="0.6">
      <c r="A674" s="13" t="s">
        <v>222</v>
      </c>
      <c r="B674" s="14">
        <v>52</v>
      </c>
      <c r="C674" s="14">
        <v>61</v>
      </c>
      <c r="D674" s="23" t="s">
        <v>37</v>
      </c>
      <c r="E674" s="14">
        <v>8</v>
      </c>
      <c r="F674" s="14" t="s">
        <v>35</v>
      </c>
      <c r="G674" s="14">
        <v>468.5</v>
      </c>
      <c r="H674" s="102">
        <f>Tabla269161765[[#This Row],[Total cluster weight (g)]]/COUNTA(A671:A674)</f>
        <v>117.125</v>
      </c>
    </row>
    <row r="675" spans="1:9" x14ac:dyDescent="0.55000000000000004">
      <c r="A675" s="29"/>
      <c r="B675" s="30"/>
      <c r="C675" s="4"/>
      <c r="D675" s="31"/>
      <c r="E675" s="4"/>
      <c r="F675" s="4"/>
      <c r="G675" s="4"/>
    </row>
    <row r="676" spans="1:9" x14ac:dyDescent="0.55000000000000004">
      <c r="A676" s="59" t="s">
        <v>176</v>
      </c>
      <c r="B676" s="55" t="s">
        <v>162</v>
      </c>
      <c r="C676" s="55" t="s">
        <v>163</v>
      </c>
      <c r="D676" s="55" t="s">
        <v>164</v>
      </c>
      <c r="E676" s="55" t="s">
        <v>165</v>
      </c>
      <c r="F676" s="56" t="s">
        <v>189</v>
      </c>
      <c r="G676" s="110" t="s">
        <v>230</v>
      </c>
    </row>
    <row r="677" spans="1:9" x14ac:dyDescent="0.55000000000000004">
      <c r="A677" s="60" t="s">
        <v>166</v>
      </c>
      <c r="B677" s="57">
        <f>AVERAGE(Tabla269161765[Height (mm)])</f>
        <v>51.054054054054056</v>
      </c>
      <c r="C677" s="57">
        <f>AVERAGE(Tabla269161765[Width (mm)])</f>
        <v>59.675675675675677</v>
      </c>
      <c r="D677" s="57">
        <f>MAX(Tabla269161765[[Cluster number ]])</f>
        <v>8</v>
      </c>
      <c r="E677" s="57">
        <f>AVERAGE(Tabla269161765[Tomato average weight per cluster])</f>
        <v>97.34375</v>
      </c>
      <c r="F677" s="58">
        <f>COUNTA(Tabla269161765["C14" PLANT])</f>
        <v>37</v>
      </c>
      <c r="G677" s="109">
        <f>SUM(Tabla269161765[Total cluster weight (g)])</f>
        <v>3570.5</v>
      </c>
    </row>
    <row r="679" spans="1:9" ht="14.7" thickBot="1" x14ac:dyDescent="0.6">
      <c r="A679" s="5" t="s">
        <v>27</v>
      </c>
      <c r="B679" t="s">
        <v>3</v>
      </c>
      <c r="C679" t="s">
        <v>4</v>
      </c>
      <c r="D679" t="s">
        <v>5</v>
      </c>
      <c r="E679" t="s">
        <v>6</v>
      </c>
      <c r="F679" t="s">
        <v>7</v>
      </c>
      <c r="G679" t="s">
        <v>8</v>
      </c>
      <c r="H679" t="s">
        <v>161</v>
      </c>
    </row>
    <row r="680" spans="1:9" x14ac:dyDescent="0.55000000000000004">
      <c r="A680" s="6" t="s">
        <v>9</v>
      </c>
      <c r="B680" s="9">
        <v>48</v>
      </c>
      <c r="C680" s="9">
        <v>60</v>
      </c>
      <c r="D680" s="21" t="s">
        <v>37</v>
      </c>
      <c r="E680" s="9">
        <v>1</v>
      </c>
      <c r="F680" s="9" t="s">
        <v>35</v>
      </c>
      <c r="G680" s="9"/>
      <c r="H680" s="12"/>
    </row>
    <row r="681" spans="1:9" x14ac:dyDescent="0.55000000000000004">
      <c r="A681" s="8" t="s">
        <v>10</v>
      </c>
      <c r="B681" s="9">
        <v>49</v>
      </c>
      <c r="C681" s="9">
        <v>60</v>
      </c>
      <c r="D681" s="21" t="s">
        <v>37</v>
      </c>
      <c r="E681" s="9">
        <v>1</v>
      </c>
      <c r="F681" s="9" t="s">
        <v>35</v>
      </c>
      <c r="G681" s="9"/>
      <c r="H681" s="9"/>
    </row>
    <row r="682" spans="1:9" x14ac:dyDescent="0.55000000000000004">
      <c r="A682" s="10" t="s">
        <v>11</v>
      </c>
      <c r="B682" s="9">
        <v>48</v>
      </c>
      <c r="C682" s="9">
        <v>64</v>
      </c>
      <c r="D682" s="21" t="s">
        <v>37</v>
      </c>
      <c r="E682" s="9">
        <v>1</v>
      </c>
      <c r="F682" s="9" t="s">
        <v>36</v>
      </c>
      <c r="G682" s="9"/>
      <c r="H682" s="9"/>
    </row>
    <row r="683" spans="1:9" x14ac:dyDescent="0.55000000000000004">
      <c r="A683" s="11" t="s">
        <v>12</v>
      </c>
      <c r="B683" s="9">
        <v>46</v>
      </c>
      <c r="C683" s="9">
        <v>58</v>
      </c>
      <c r="D683" s="21" t="s">
        <v>37</v>
      </c>
      <c r="E683" s="9">
        <v>1</v>
      </c>
      <c r="F683" s="9" t="s">
        <v>36</v>
      </c>
      <c r="G683" s="9"/>
      <c r="H683" s="9"/>
    </row>
    <row r="684" spans="1:9" ht="14.7" thickBot="1" x14ac:dyDescent="0.6">
      <c r="A684" s="13" t="s">
        <v>13</v>
      </c>
      <c r="B684" s="14">
        <v>47</v>
      </c>
      <c r="C684" s="14">
        <v>66</v>
      </c>
      <c r="D684" s="23" t="s">
        <v>37</v>
      </c>
      <c r="E684" s="14">
        <v>1</v>
      </c>
      <c r="F684" s="14" t="s">
        <v>36</v>
      </c>
      <c r="G684" s="14">
        <v>499</v>
      </c>
      <c r="H684" s="14">
        <f>Tabla269161866[[#This Row],[Total cluster weight (g)]]/COUNTA(A680:A684)</f>
        <v>99.8</v>
      </c>
    </row>
    <row r="685" spans="1:9" x14ac:dyDescent="0.55000000000000004">
      <c r="A685" s="6" t="s">
        <v>41</v>
      </c>
      <c r="B685" s="9">
        <v>49</v>
      </c>
      <c r="C685" s="9">
        <v>59</v>
      </c>
      <c r="D685" s="21" t="s">
        <v>37</v>
      </c>
      <c r="E685" s="9">
        <v>2</v>
      </c>
      <c r="F685" s="9" t="s">
        <v>36</v>
      </c>
      <c r="G685" s="9"/>
      <c r="H685" s="12"/>
    </row>
    <row r="686" spans="1:9" x14ac:dyDescent="0.55000000000000004">
      <c r="A686" s="8" t="s">
        <v>42</v>
      </c>
      <c r="B686" s="9">
        <v>51</v>
      </c>
      <c r="C686" s="9">
        <v>63</v>
      </c>
      <c r="D686" s="21" t="s">
        <v>37</v>
      </c>
      <c r="E686" s="9">
        <v>2</v>
      </c>
      <c r="F686" s="9" t="s">
        <v>36</v>
      </c>
      <c r="G686" s="9"/>
      <c r="H686" s="9"/>
    </row>
    <row r="687" spans="1:9" x14ac:dyDescent="0.55000000000000004">
      <c r="A687" s="10" t="s">
        <v>43</v>
      </c>
      <c r="B687" s="9">
        <v>52</v>
      </c>
      <c r="C687" s="9">
        <v>65</v>
      </c>
      <c r="D687" s="21" t="s">
        <v>37</v>
      </c>
      <c r="E687" s="9">
        <v>2</v>
      </c>
      <c r="F687" s="9" t="s">
        <v>36</v>
      </c>
      <c r="G687" s="9"/>
      <c r="H687" s="9"/>
    </row>
    <row r="688" spans="1:9" x14ac:dyDescent="0.55000000000000004">
      <c r="A688" s="11" t="s">
        <v>44</v>
      </c>
      <c r="B688" s="9">
        <v>52</v>
      </c>
      <c r="C688" s="9">
        <v>69</v>
      </c>
      <c r="D688" s="21">
        <v>131.5</v>
      </c>
      <c r="E688" s="9">
        <v>2</v>
      </c>
      <c r="F688" s="9" t="s">
        <v>36</v>
      </c>
      <c r="G688" s="9"/>
      <c r="H688" s="9"/>
      <c r="I688" t="s">
        <v>38</v>
      </c>
    </row>
    <row r="689" spans="1:9" ht="14.7" thickBot="1" x14ac:dyDescent="0.6">
      <c r="A689" s="13" t="s">
        <v>45</v>
      </c>
      <c r="B689" s="14">
        <v>52</v>
      </c>
      <c r="C689" s="14">
        <v>60</v>
      </c>
      <c r="D689" s="23">
        <v>106.5</v>
      </c>
      <c r="E689" s="14">
        <v>2</v>
      </c>
      <c r="F689" s="14" t="s">
        <v>36</v>
      </c>
      <c r="G689" s="14">
        <v>567</v>
      </c>
      <c r="H689" s="14">
        <f>Tabla269161866[[#This Row],[Total cluster weight (g)]]/COUNTA(A685:A689)</f>
        <v>113.4</v>
      </c>
      <c r="I689" t="s">
        <v>38</v>
      </c>
    </row>
    <row r="690" spans="1:9" x14ac:dyDescent="0.55000000000000004">
      <c r="A690" s="6" t="s">
        <v>49</v>
      </c>
      <c r="B690" s="9">
        <v>50</v>
      </c>
      <c r="C690" s="9">
        <v>63</v>
      </c>
      <c r="D690" s="21" t="s">
        <v>37</v>
      </c>
      <c r="E690" s="9">
        <v>3</v>
      </c>
      <c r="F690" s="9" t="s">
        <v>36</v>
      </c>
      <c r="G690" s="12"/>
      <c r="H690" s="12"/>
    </row>
    <row r="691" spans="1:9" x14ac:dyDescent="0.55000000000000004">
      <c r="A691" s="8" t="s">
        <v>50</v>
      </c>
      <c r="B691" s="9">
        <v>53</v>
      </c>
      <c r="C691" s="9">
        <v>66</v>
      </c>
      <c r="D691" s="21" t="s">
        <v>37</v>
      </c>
      <c r="E691" s="9">
        <v>3</v>
      </c>
      <c r="F691" s="9" t="s">
        <v>36</v>
      </c>
      <c r="G691" s="9"/>
      <c r="H691" s="9"/>
    </row>
    <row r="692" spans="1:9" x14ac:dyDescent="0.55000000000000004">
      <c r="A692" s="10" t="s">
        <v>51</v>
      </c>
      <c r="B692" s="9">
        <v>52</v>
      </c>
      <c r="C692" s="9">
        <v>64</v>
      </c>
      <c r="D692" s="21" t="s">
        <v>37</v>
      </c>
      <c r="E692" s="9">
        <v>3</v>
      </c>
      <c r="F692" s="9" t="s">
        <v>36</v>
      </c>
      <c r="G692" s="9"/>
      <c r="H692" s="9"/>
    </row>
    <row r="693" spans="1:9" x14ac:dyDescent="0.55000000000000004">
      <c r="A693" s="34" t="s">
        <v>52</v>
      </c>
      <c r="B693" s="9">
        <v>53</v>
      </c>
      <c r="C693" s="9">
        <v>62</v>
      </c>
      <c r="D693" s="21" t="s">
        <v>37</v>
      </c>
      <c r="E693" s="9">
        <v>3</v>
      </c>
      <c r="F693" s="9" t="s">
        <v>36</v>
      </c>
      <c r="G693" s="9"/>
      <c r="H693" s="9"/>
    </row>
    <row r="694" spans="1:9" ht="14.7" thickBot="1" x14ac:dyDescent="0.6">
      <c r="A694" s="35" t="s">
        <v>53</v>
      </c>
      <c r="B694" s="14">
        <v>52</v>
      </c>
      <c r="C694" s="14">
        <v>64</v>
      </c>
      <c r="D694" s="23" t="s">
        <v>37</v>
      </c>
      <c r="E694" s="14">
        <v>3</v>
      </c>
      <c r="F694" s="14" t="s">
        <v>36</v>
      </c>
      <c r="G694" s="14">
        <v>567.5</v>
      </c>
      <c r="H694" s="14">
        <f>Tabla269161866[[#This Row],[Total cluster weight (g)]]/COUNTA(A690:A694)</f>
        <v>113.5</v>
      </c>
    </row>
    <row r="695" spans="1:9" x14ac:dyDescent="0.55000000000000004">
      <c r="A695" s="6" t="s">
        <v>85</v>
      </c>
      <c r="B695" s="9">
        <v>37</v>
      </c>
      <c r="C695" s="9">
        <v>43</v>
      </c>
      <c r="D695" s="21" t="s">
        <v>37</v>
      </c>
      <c r="E695" s="9">
        <v>4</v>
      </c>
      <c r="F695" s="9" t="s">
        <v>35</v>
      </c>
      <c r="G695" s="9"/>
      <c r="H695" s="12"/>
      <c r="I695" t="s">
        <v>56</v>
      </c>
    </row>
    <row r="696" spans="1:9" x14ac:dyDescent="0.55000000000000004">
      <c r="A696" s="8" t="s">
        <v>74</v>
      </c>
      <c r="B696" s="9">
        <v>40</v>
      </c>
      <c r="C696" s="9">
        <v>48</v>
      </c>
      <c r="D696" s="21" t="s">
        <v>37</v>
      </c>
      <c r="E696" s="9">
        <v>4</v>
      </c>
      <c r="F696" s="9" t="s">
        <v>35</v>
      </c>
      <c r="G696" s="9"/>
      <c r="H696" s="9"/>
    </row>
    <row r="697" spans="1:9" x14ac:dyDescent="0.55000000000000004">
      <c r="A697" s="10" t="s">
        <v>86</v>
      </c>
      <c r="B697" s="9">
        <v>42</v>
      </c>
      <c r="C697" s="9">
        <v>49</v>
      </c>
      <c r="D697" s="21" t="s">
        <v>37</v>
      </c>
      <c r="E697" s="9">
        <v>4</v>
      </c>
      <c r="F697" s="9" t="s">
        <v>35</v>
      </c>
      <c r="G697" s="9"/>
      <c r="H697" s="9"/>
    </row>
    <row r="698" spans="1:9" x14ac:dyDescent="0.55000000000000004">
      <c r="A698" s="11" t="s">
        <v>67</v>
      </c>
      <c r="B698" s="9">
        <v>43</v>
      </c>
      <c r="C698" s="9">
        <v>53</v>
      </c>
      <c r="D698" s="21" t="s">
        <v>37</v>
      </c>
      <c r="E698" s="9">
        <v>4</v>
      </c>
      <c r="F698" s="9" t="s">
        <v>35</v>
      </c>
      <c r="G698" s="9"/>
      <c r="H698" s="9"/>
    </row>
    <row r="699" spans="1:9" ht="14.7" thickBot="1" x14ac:dyDescent="0.6">
      <c r="A699" s="13" t="s">
        <v>71</v>
      </c>
      <c r="B699" s="14">
        <v>42</v>
      </c>
      <c r="C699" s="14">
        <v>57</v>
      </c>
      <c r="D699" s="23" t="s">
        <v>37</v>
      </c>
      <c r="E699" s="14">
        <v>4</v>
      </c>
      <c r="F699" s="14" t="s">
        <v>35</v>
      </c>
      <c r="G699" s="14">
        <v>284</v>
      </c>
      <c r="H699" s="14">
        <f>Tabla269161866[[#This Row],[Total cluster weight (g)]]/COUNTA(A695:A699)</f>
        <v>56.8</v>
      </c>
    </row>
    <row r="700" spans="1:9" x14ac:dyDescent="0.55000000000000004">
      <c r="A700" s="11" t="s">
        <v>89</v>
      </c>
      <c r="B700" s="12">
        <v>49</v>
      </c>
      <c r="C700" s="12">
        <v>61</v>
      </c>
      <c r="D700" s="28" t="s">
        <v>37</v>
      </c>
      <c r="E700" s="12">
        <v>5</v>
      </c>
      <c r="F700" s="12" t="s">
        <v>68</v>
      </c>
      <c r="G700" s="12"/>
      <c r="H700" s="12"/>
    </row>
    <row r="701" spans="1:9" x14ac:dyDescent="0.55000000000000004">
      <c r="A701" s="8" t="s">
        <v>92</v>
      </c>
      <c r="B701" s="9">
        <v>52</v>
      </c>
      <c r="C701" s="9">
        <v>63</v>
      </c>
      <c r="D701" s="21" t="s">
        <v>37</v>
      </c>
      <c r="E701" s="9">
        <v>5</v>
      </c>
      <c r="F701" s="9" t="s">
        <v>68</v>
      </c>
      <c r="G701" s="9"/>
      <c r="H701" s="9"/>
    </row>
    <row r="702" spans="1:9" x14ac:dyDescent="0.55000000000000004">
      <c r="A702" s="10" t="s">
        <v>93</v>
      </c>
      <c r="B702" s="9">
        <v>51</v>
      </c>
      <c r="C702" s="9">
        <v>71</v>
      </c>
      <c r="D702" s="21" t="s">
        <v>37</v>
      </c>
      <c r="E702" s="9">
        <v>5</v>
      </c>
      <c r="F702" s="9" t="s">
        <v>35</v>
      </c>
      <c r="G702" s="9"/>
      <c r="H702" s="9"/>
    </row>
    <row r="703" spans="1:9" x14ac:dyDescent="0.55000000000000004">
      <c r="A703" s="11" t="s">
        <v>94</v>
      </c>
      <c r="B703" s="9">
        <v>48</v>
      </c>
      <c r="C703" s="9">
        <v>64</v>
      </c>
      <c r="D703" s="21" t="s">
        <v>37</v>
      </c>
      <c r="E703" s="9">
        <v>5</v>
      </c>
      <c r="F703" s="9" t="s">
        <v>36</v>
      </c>
      <c r="G703" s="9"/>
      <c r="H703" s="9"/>
    </row>
    <row r="704" spans="1:9" ht="14.7" thickBot="1" x14ac:dyDescent="0.6">
      <c r="A704" s="13" t="s">
        <v>95</v>
      </c>
      <c r="B704" s="14">
        <v>48</v>
      </c>
      <c r="C704" s="14">
        <v>63</v>
      </c>
      <c r="D704" s="23" t="s">
        <v>37</v>
      </c>
      <c r="E704" s="14">
        <v>5</v>
      </c>
      <c r="F704" s="14" t="s">
        <v>36</v>
      </c>
      <c r="G704" s="14">
        <v>508</v>
      </c>
      <c r="H704" s="14">
        <f>Tabla269161866[[#This Row],[Total cluster weight (g)]]/COUNTA(A700:A704)</f>
        <v>101.6</v>
      </c>
    </row>
    <row r="705" spans="1:8" x14ac:dyDescent="0.55000000000000004">
      <c r="A705" s="6" t="s">
        <v>144</v>
      </c>
      <c r="B705" s="7">
        <v>48</v>
      </c>
      <c r="C705" s="7">
        <v>55</v>
      </c>
      <c r="D705" s="21" t="s">
        <v>37</v>
      </c>
      <c r="E705" s="9">
        <v>6</v>
      </c>
      <c r="F705" s="9" t="s">
        <v>36</v>
      </c>
      <c r="G705" s="9"/>
      <c r="H705" s="88"/>
    </row>
    <row r="706" spans="1:8" x14ac:dyDescent="0.55000000000000004">
      <c r="A706" s="8" t="s">
        <v>150</v>
      </c>
      <c r="B706" s="9">
        <v>50</v>
      </c>
      <c r="C706" s="9">
        <v>59</v>
      </c>
      <c r="D706" s="21" t="s">
        <v>37</v>
      </c>
      <c r="E706" s="9">
        <v>6</v>
      </c>
      <c r="F706" s="9" t="s">
        <v>36</v>
      </c>
      <c r="G706" s="9"/>
      <c r="H706" s="88"/>
    </row>
    <row r="707" spans="1:8" x14ac:dyDescent="0.55000000000000004">
      <c r="A707" s="10" t="s">
        <v>151</v>
      </c>
      <c r="B707" s="9">
        <v>47</v>
      </c>
      <c r="C707" s="9">
        <v>57</v>
      </c>
      <c r="D707" s="21" t="s">
        <v>37</v>
      </c>
      <c r="E707" s="9">
        <v>6</v>
      </c>
      <c r="F707" s="9" t="s">
        <v>36</v>
      </c>
      <c r="G707" s="9"/>
      <c r="H707" s="88"/>
    </row>
    <row r="708" spans="1:8" x14ac:dyDescent="0.55000000000000004">
      <c r="A708" s="11" t="s">
        <v>152</v>
      </c>
      <c r="B708" s="12">
        <v>53</v>
      </c>
      <c r="C708" s="12">
        <v>61</v>
      </c>
      <c r="D708" s="21" t="s">
        <v>37</v>
      </c>
      <c r="E708" s="9">
        <v>6</v>
      </c>
      <c r="F708" s="9" t="s">
        <v>36</v>
      </c>
      <c r="G708" s="9"/>
      <c r="H708" s="88"/>
    </row>
    <row r="709" spans="1:8" ht="14.7" thickBot="1" x14ac:dyDescent="0.6">
      <c r="A709" s="13" t="s">
        <v>153</v>
      </c>
      <c r="B709" s="14">
        <v>52</v>
      </c>
      <c r="C709" s="14">
        <v>61</v>
      </c>
      <c r="D709" s="23" t="s">
        <v>37</v>
      </c>
      <c r="E709" s="14">
        <v>6</v>
      </c>
      <c r="F709" s="14" t="s">
        <v>36</v>
      </c>
      <c r="G709" s="14">
        <v>461.5</v>
      </c>
      <c r="H709" s="14">
        <f>Tabla269161866[[#This Row],[Total cluster weight (g)]]/COUNTA(A705:A709)</f>
        <v>92.3</v>
      </c>
    </row>
    <row r="710" spans="1:8" x14ac:dyDescent="0.55000000000000004">
      <c r="A710" s="61" t="s">
        <v>158</v>
      </c>
      <c r="B710" s="9">
        <v>48</v>
      </c>
      <c r="C710" s="9">
        <v>63</v>
      </c>
      <c r="D710" s="21" t="s">
        <v>37</v>
      </c>
      <c r="E710" s="9">
        <v>7</v>
      </c>
      <c r="F710" s="9" t="s">
        <v>36</v>
      </c>
      <c r="G710" s="9"/>
      <c r="H710" s="88"/>
    </row>
    <row r="711" spans="1:8" x14ac:dyDescent="0.55000000000000004">
      <c r="A711" s="61" t="s">
        <v>215</v>
      </c>
      <c r="B711" s="9">
        <v>52</v>
      </c>
      <c r="C711" s="9">
        <v>63</v>
      </c>
      <c r="D711" s="21" t="s">
        <v>37</v>
      </c>
      <c r="E711" s="9">
        <v>7</v>
      </c>
      <c r="F711" s="9" t="s">
        <v>36</v>
      </c>
      <c r="G711" s="9"/>
      <c r="H711" s="88"/>
    </row>
    <row r="712" spans="1:8" x14ac:dyDescent="0.55000000000000004">
      <c r="A712" s="61" t="s">
        <v>216</v>
      </c>
      <c r="B712" s="9">
        <v>53</v>
      </c>
      <c r="C712" s="9">
        <v>71</v>
      </c>
      <c r="D712" s="21" t="s">
        <v>37</v>
      </c>
      <c r="E712" s="9">
        <v>7</v>
      </c>
      <c r="F712" s="9" t="s">
        <v>36</v>
      </c>
      <c r="G712" s="9"/>
      <c r="H712" s="88"/>
    </row>
    <row r="713" spans="1:8" x14ac:dyDescent="0.55000000000000004">
      <c r="A713" s="61" t="s">
        <v>217</v>
      </c>
      <c r="B713" s="9">
        <v>52</v>
      </c>
      <c r="C713" s="9">
        <v>66</v>
      </c>
      <c r="D713" s="21" t="s">
        <v>37</v>
      </c>
      <c r="E713" s="9">
        <v>7</v>
      </c>
      <c r="F713" s="9" t="s">
        <v>36</v>
      </c>
      <c r="G713" s="9"/>
      <c r="H713" s="88"/>
    </row>
    <row r="714" spans="1:8" ht="14.7" thickBot="1" x14ac:dyDescent="0.6">
      <c r="A714" s="94" t="s">
        <v>218</v>
      </c>
      <c r="B714" s="14">
        <v>51</v>
      </c>
      <c r="C714" s="14">
        <v>65</v>
      </c>
      <c r="D714" s="23" t="s">
        <v>37</v>
      </c>
      <c r="E714" s="14">
        <v>7</v>
      </c>
      <c r="F714" s="14" t="s">
        <v>36</v>
      </c>
      <c r="G714" s="14">
        <v>561</v>
      </c>
      <c r="H714" s="102">
        <f>Tabla269161866[[#This Row],[Total cluster weight (g)]]/COUNTA(A710:A714)</f>
        <v>112.2</v>
      </c>
    </row>
    <row r="715" spans="1:8" x14ac:dyDescent="0.55000000000000004">
      <c r="A715" s="61" t="s">
        <v>219</v>
      </c>
      <c r="B715" s="9">
        <v>46</v>
      </c>
      <c r="C715" s="9">
        <v>53</v>
      </c>
      <c r="D715" s="21" t="s">
        <v>37</v>
      </c>
      <c r="E715" s="9">
        <v>8</v>
      </c>
      <c r="F715" s="9" t="s">
        <v>36</v>
      </c>
      <c r="G715" s="9"/>
      <c r="H715" s="88"/>
    </row>
    <row r="716" spans="1:8" x14ac:dyDescent="0.55000000000000004">
      <c r="A716" s="61" t="s">
        <v>222</v>
      </c>
      <c r="B716" s="9">
        <v>47</v>
      </c>
      <c r="C716" s="9">
        <v>56</v>
      </c>
      <c r="D716" s="21" t="s">
        <v>37</v>
      </c>
      <c r="E716" s="9">
        <v>8</v>
      </c>
      <c r="F716" s="9" t="s">
        <v>36</v>
      </c>
      <c r="G716" s="9"/>
      <c r="H716" s="88"/>
    </row>
    <row r="717" spans="1:8" x14ac:dyDescent="0.55000000000000004">
      <c r="A717" s="61" t="s">
        <v>223</v>
      </c>
      <c r="B717" s="9">
        <v>48</v>
      </c>
      <c r="C717" s="9">
        <v>58</v>
      </c>
      <c r="D717" s="21" t="s">
        <v>37</v>
      </c>
      <c r="E717" s="9">
        <v>8</v>
      </c>
      <c r="F717" s="9" t="s">
        <v>36</v>
      </c>
      <c r="G717" s="9"/>
      <c r="H717" s="88"/>
    </row>
    <row r="718" spans="1:8" x14ac:dyDescent="0.55000000000000004">
      <c r="A718" s="61" t="s">
        <v>232</v>
      </c>
      <c r="B718" s="9">
        <v>50</v>
      </c>
      <c r="C718" s="9">
        <v>63</v>
      </c>
      <c r="D718" s="21" t="s">
        <v>37</v>
      </c>
      <c r="E718" s="9">
        <v>8</v>
      </c>
      <c r="F718" s="9" t="s">
        <v>36</v>
      </c>
      <c r="G718" s="9"/>
      <c r="H718" s="88"/>
    </row>
    <row r="719" spans="1:8" ht="14.7" thickBot="1" x14ac:dyDescent="0.6">
      <c r="A719" s="94" t="s">
        <v>233</v>
      </c>
      <c r="B719" s="14">
        <v>50</v>
      </c>
      <c r="C719" s="14">
        <v>62</v>
      </c>
      <c r="D719" s="23" t="s">
        <v>37</v>
      </c>
      <c r="E719" s="14">
        <v>8</v>
      </c>
      <c r="F719" s="14" t="s">
        <v>36</v>
      </c>
      <c r="G719" s="14">
        <v>440</v>
      </c>
      <c r="H719" s="102">
        <f>Tabla269161866[[#This Row],[Total cluster weight (g)]]/COUNTA(A715:A719)</f>
        <v>88</v>
      </c>
    </row>
    <row r="720" spans="1:8" x14ac:dyDescent="0.55000000000000004">
      <c r="A720" s="61" t="s">
        <v>234</v>
      </c>
      <c r="B720" s="9">
        <v>50</v>
      </c>
      <c r="C720" s="9">
        <v>58</v>
      </c>
      <c r="D720" s="21" t="s">
        <v>37</v>
      </c>
      <c r="E720" s="9">
        <v>9</v>
      </c>
      <c r="F720" s="9" t="s">
        <v>36</v>
      </c>
      <c r="G720" s="9"/>
      <c r="H720" s="88"/>
    </row>
    <row r="721" spans="1:8" x14ac:dyDescent="0.55000000000000004">
      <c r="A721" s="61" t="s">
        <v>235</v>
      </c>
      <c r="B721" s="9">
        <v>53</v>
      </c>
      <c r="C721" s="9">
        <v>62</v>
      </c>
      <c r="D721" s="21" t="s">
        <v>37</v>
      </c>
      <c r="E721" s="9">
        <v>9</v>
      </c>
      <c r="F721" s="9" t="s">
        <v>36</v>
      </c>
      <c r="G721" s="9"/>
      <c r="H721" s="88"/>
    </row>
    <row r="722" spans="1:8" x14ac:dyDescent="0.55000000000000004">
      <c r="A722" s="61" t="s">
        <v>236</v>
      </c>
      <c r="B722" s="9">
        <v>53</v>
      </c>
      <c r="C722" s="9">
        <v>62</v>
      </c>
      <c r="D722" s="21" t="s">
        <v>37</v>
      </c>
      <c r="E722" s="9">
        <v>9</v>
      </c>
      <c r="F722" s="9" t="s">
        <v>36</v>
      </c>
      <c r="G722" s="9"/>
      <c r="H722" s="88"/>
    </row>
    <row r="723" spans="1:8" x14ac:dyDescent="0.55000000000000004">
      <c r="A723" s="61" t="s">
        <v>248</v>
      </c>
      <c r="B723" s="9">
        <v>54</v>
      </c>
      <c r="C723" s="9">
        <v>66</v>
      </c>
      <c r="D723" s="21" t="s">
        <v>37</v>
      </c>
      <c r="E723" s="9">
        <v>9</v>
      </c>
      <c r="F723" s="9" t="s">
        <v>36</v>
      </c>
      <c r="G723" s="9"/>
      <c r="H723" s="88"/>
    </row>
    <row r="724" spans="1:8" ht="14.7" thickBot="1" x14ac:dyDescent="0.6">
      <c r="A724" s="94" t="s">
        <v>249</v>
      </c>
      <c r="B724" s="14">
        <v>53</v>
      </c>
      <c r="C724" s="14">
        <v>60</v>
      </c>
      <c r="D724" s="23" t="s">
        <v>37</v>
      </c>
      <c r="E724" s="14">
        <v>9</v>
      </c>
      <c r="F724" s="14" t="s">
        <v>36</v>
      </c>
      <c r="G724" s="14">
        <v>519.5</v>
      </c>
      <c r="H724" s="102">
        <f>Tabla269161866[[#This Row],[Total cluster weight (g)]]/COUNTA(A720:A724)</f>
        <v>103.9</v>
      </c>
    </row>
    <row r="725" spans="1:8" x14ac:dyDescent="0.55000000000000004">
      <c r="A725" s="6" t="s">
        <v>250</v>
      </c>
      <c r="B725" s="9">
        <v>48</v>
      </c>
      <c r="C725" s="9">
        <v>54</v>
      </c>
      <c r="D725" s="21" t="s">
        <v>37</v>
      </c>
      <c r="E725" s="9">
        <v>10</v>
      </c>
      <c r="F725" s="9" t="s">
        <v>35</v>
      </c>
      <c r="G725" s="9"/>
      <c r="H725" s="88"/>
    </row>
    <row r="726" spans="1:8" x14ac:dyDescent="0.55000000000000004">
      <c r="A726" s="8" t="s">
        <v>255</v>
      </c>
      <c r="B726" s="9">
        <v>48</v>
      </c>
      <c r="C726" s="9">
        <v>54</v>
      </c>
      <c r="D726" s="21" t="s">
        <v>37</v>
      </c>
      <c r="E726" s="9">
        <v>10</v>
      </c>
      <c r="F726" s="9" t="s">
        <v>36</v>
      </c>
      <c r="G726" s="9"/>
      <c r="H726" s="88"/>
    </row>
    <row r="727" spans="1:8" x14ac:dyDescent="0.55000000000000004">
      <c r="A727" s="10" t="s">
        <v>256</v>
      </c>
      <c r="B727" s="9">
        <v>50</v>
      </c>
      <c r="C727" s="9">
        <v>57</v>
      </c>
      <c r="D727" s="21" t="s">
        <v>37</v>
      </c>
      <c r="E727" s="9">
        <v>10</v>
      </c>
      <c r="F727" s="9" t="s">
        <v>36</v>
      </c>
      <c r="G727" s="9"/>
      <c r="H727" s="88"/>
    </row>
    <row r="728" spans="1:8" x14ac:dyDescent="0.55000000000000004">
      <c r="A728" s="11" t="s">
        <v>260</v>
      </c>
      <c r="B728" s="9">
        <v>50</v>
      </c>
      <c r="C728" s="9">
        <v>60</v>
      </c>
      <c r="D728" s="21" t="s">
        <v>37</v>
      </c>
      <c r="E728" s="9">
        <v>10</v>
      </c>
      <c r="F728" s="9" t="s">
        <v>36</v>
      </c>
      <c r="G728" s="9"/>
      <c r="H728" s="88"/>
    </row>
    <row r="729" spans="1:8" ht="14.7" thickBot="1" x14ac:dyDescent="0.6">
      <c r="A729" s="13" t="s">
        <v>267</v>
      </c>
      <c r="B729" s="14">
        <v>51</v>
      </c>
      <c r="C729" s="14">
        <v>59</v>
      </c>
      <c r="D729" s="23" t="s">
        <v>37</v>
      </c>
      <c r="E729" s="14">
        <v>10</v>
      </c>
      <c r="F729" s="14" t="s">
        <v>36</v>
      </c>
      <c r="G729" s="14">
        <v>435.5</v>
      </c>
      <c r="H729" s="102">
        <f>Tabla269161866[[#This Row],[Total cluster weight (g)]]/COUNTA(A725:A729)</f>
        <v>87.1</v>
      </c>
    </row>
    <row r="730" spans="1:8" x14ac:dyDescent="0.55000000000000004">
      <c r="A730" s="29"/>
      <c r="B730" s="30"/>
      <c r="C730" s="30"/>
      <c r="D730" s="31"/>
      <c r="E730" s="30"/>
      <c r="F730" s="30"/>
      <c r="G730" s="30"/>
    </row>
    <row r="731" spans="1:8" x14ac:dyDescent="0.55000000000000004">
      <c r="A731" s="59" t="s">
        <v>175</v>
      </c>
      <c r="B731" s="55" t="s">
        <v>162</v>
      </c>
      <c r="C731" s="55" t="s">
        <v>163</v>
      </c>
      <c r="D731" s="55" t="s">
        <v>164</v>
      </c>
      <c r="E731" s="55" t="s">
        <v>165</v>
      </c>
      <c r="F731" s="56" t="s">
        <v>189</v>
      </c>
      <c r="G731" s="110" t="s">
        <v>230</v>
      </c>
    </row>
    <row r="732" spans="1:8" x14ac:dyDescent="0.55000000000000004">
      <c r="A732" s="60" t="s">
        <v>166</v>
      </c>
      <c r="B732" s="57">
        <f>AVERAGE(Tabla269161866[Height (mm)])</f>
        <v>49.26</v>
      </c>
      <c r="C732" s="57">
        <f>AVERAGE(Tabla269161866[Width (mm)])</f>
        <v>60.4</v>
      </c>
      <c r="D732" s="57">
        <f>MAX(Tabla269161866[[Cluster number ]])</f>
        <v>10</v>
      </c>
      <c r="E732" s="57">
        <f>AVERAGE(Tabla269161866[Tomato average weight per cluster])</f>
        <v>96.86</v>
      </c>
      <c r="F732" s="58">
        <f>COUNTA(Tabla269161866["C15" PLANT])</f>
        <v>50</v>
      </c>
      <c r="G732" s="109">
        <f>SUM(Tabla269161866[Total cluster weight (g)])</f>
        <v>4843</v>
      </c>
    </row>
    <row r="734" spans="1:8" ht="14.7" thickBot="1" x14ac:dyDescent="0.6">
      <c r="A734" s="5" t="s">
        <v>28</v>
      </c>
      <c r="B734" t="s">
        <v>3</v>
      </c>
      <c r="C734" t="s">
        <v>4</v>
      </c>
      <c r="D734" t="s">
        <v>5</v>
      </c>
      <c r="E734" t="s">
        <v>6</v>
      </c>
      <c r="F734" t="s">
        <v>7</v>
      </c>
      <c r="G734" t="s">
        <v>8</v>
      </c>
      <c r="H734" t="s">
        <v>161</v>
      </c>
    </row>
    <row r="735" spans="1:8" x14ac:dyDescent="0.55000000000000004">
      <c r="A735" s="6" t="s">
        <v>9</v>
      </c>
      <c r="B735" s="9">
        <v>46</v>
      </c>
      <c r="C735" s="9">
        <v>62</v>
      </c>
      <c r="D735" s="21" t="s">
        <v>37</v>
      </c>
      <c r="E735" s="9">
        <v>1</v>
      </c>
      <c r="F735" s="9" t="s">
        <v>35</v>
      </c>
      <c r="G735" s="9"/>
      <c r="H735" s="12"/>
    </row>
    <row r="736" spans="1:8" x14ac:dyDescent="0.55000000000000004">
      <c r="A736" s="8" t="s">
        <v>10</v>
      </c>
      <c r="B736" s="9">
        <v>47</v>
      </c>
      <c r="C736" s="9">
        <v>64</v>
      </c>
      <c r="D736" s="21" t="s">
        <v>37</v>
      </c>
      <c r="E736" s="9">
        <v>1</v>
      </c>
      <c r="F736" s="9" t="s">
        <v>35</v>
      </c>
      <c r="G736" s="9"/>
      <c r="H736" s="9"/>
    </row>
    <row r="737" spans="1:9" x14ac:dyDescent="0.55000000000000004">
      <c r="A737" s="10" t="s">
        <v>11</v>
      </c>
      <c r="B737" s="9">
        <v>51</v>
      </c>
      <c r="C737" s="9">
        <v>71</v>
      </c>
      <c r="D737" s="21" t="s">
        <v>37</v>
      </c>
      <c r="E737" s="9">
        <v>1</v>
      </c>
      <c r="F737" s="9" t="s">
        <v>36</v>
      </c>
      <c r="G737" s="9"/>
      <c r="H737" s="9"/>
    </row>
    <row r="738" spans="1:9" ht="14.7" thickBot="1" x14ac:dyDescent="0.6">
      <c r="A738" s="11" t="s">
        <v>12</v>
      </c>
      <c r="B738" s="14">
        <v>36</v>
      </c>
      <c r="C738" s="14">
        <v>46</v>
      </c>
      <c r="D738" s="23" t="s">
        <v>37</v>
      </c>
      <c r="E738" s="14">
        <v>1</v>
      </c>
      <c r="F738" s="14" t="s">
        <v>36</v>
      </c>
      <c r="G738" s="14">
        <v>389.5</v>
      </c>
      <c r="H738" s="14">
        <f>Tabla269161967[[#This Row],[Total cluster weight (g)]]/COUNTA(A735:A738)</f>
        <v>97.375</v>
      </c>
    </row>
    <row r="739" spans="1:9" x14ac:dyDescent="0.55000000000000004">
      <c r="A739" s="6" t="s">
        <v>13</v>
      </c>
      <c r="B739" s="7">
        <v>51</v>
      </c>
      <c r="C739" s="7">
        <v>61</v>
      </c>
      <c r="D739" s="28" t="s">
        <v>37</v>
      </c>
      <c r="E739" s="9">
        <v>2</v>
      </c>
      <c r="F739" s="9" t="s">
        <v>35</v>
      </c>
      <c r="G739" s="9"/>
      <c r="H739" s="41"/>
    </row>
    <row r="740" spans="1:9" x14ac:dyDescent="0.55000000000000004">
      <c r="A740" s="8" t="s">
        <v>41</v>
      </c>
      <c r="B740" s="9">
        <v>48</v>
      </c>
      <c r="C740" s="9">
        <v>63</v>
      </c>
      <c r="D740" s="28" t="s">
        <v>37</v>
      </c>
      <c r="E740" s="9">
        <v>2</v>
      </c>
      <c r="F740" s="12" t="s">
        <v>36</v>
      </c>
      <c r="G740" s="9"/>
      <c r="H740" s="9"/>
    </row>
    <row r="741" spans="1:9" x14ac:dyDescent="0.55000000000000004">
      <c r="A741" s="10" t="s">
        <v>42</v>
      </c>
      <c r="B741" s="9">
        <v>56</v>
      </c>
      <c r="C741" s="9">
        <v>65</v>
      </c>
      <c r="D741" s="28" t="s">
        <v>37</v>
      </c>
      <c r="E741" s="9">
        <v>2</v>
      </c>
      <c r="F741" s="12" t="s">
        <v>36</v>
      </c>
      <c r="G741" s="9"/>
      <c r="H741" s="5"/>
    </row>
    <row r="742" spans="1:9" x14ac:dyDescent="0.55000000000000004">
      <c r="A742" s="34" t="s">
        <v>43</v>
      </c>
      <c r="B742" s="12">
        <v>54</v>
      </c>
      <c r="C742" s="12">
        <v>67</v>
      </c>
      <c r="D742" s="28" t="s">
        <v>37</v>
      </c>
      <c r="E742" s="9">
        <v>2</v>
      </c>
      <c r="F742" s="12" t="s">
        <v>36</v>
      </c>
      <c r="G742" s="9"/>
      <c r="H742" s="5"/>
    </row>
    <row r="743" spans="1:9" ht="14.7" thickBot="1" x14ac:dyDescent="0.6">
      <c r="A743" s="35" t="s">
        <v>47</v>
      </c>
      <c r="B743" s="14">
        <v>53</v>
      </c>
      <c r="C743" s="14">
        <v>66</v>
      </c>
      <c r="D743" s="23" t="s">
        <v>37</v>
      </c>
      <c r="E743" s="14">
        <v>2</v>
      </c>
      <c r="F743" s="14" t="s">
        <v>36</v>
      </c>
      <c r="G743" s="14">
        <v>591</v>
      </c>
      <c r="H743" s="14">
        <f>Tabla269161967[[#This Row],[Total cluster weight (g)]]/COUNTA(A739:A743)</f>
        <v>118.2</v>
      </c>
    </row>
    <row r="744" spans="1:9" x14ac:dyDescent="0.55000000000000004">
      <c r="A744" s="6" t="s">
        <v>57</v>
      </c>
      <c r="B744" s="7">
        <v>50</v>
      </c>
      <c r="C744" s="7">
        <v>62</v>
      </c>
      <c r="D744" s="21" t="s">
        <v>37</v>
      </c>
      <c r="E744" s="9">
        <v>3</v>
      </c>
      <c r="F744" s="9" t="s">
        <v>36</v>
      </c>
      <c r="G744" s="9"/>
      <c r="H744" s="5"/>
      <c r="I744" t="s">
        <v>56</v>
      </c>
    </row>
    <row r="745" spans="1:9" x14ac:dyDescent="0.55000000000000004">
      <c r="A745" s="8" t="s">
        <v>75</v>
      </c>
      <c r="B745" s="9">
        <v>50</v>
      </c>
      <c r="C745" s="9">
        <v>63</v>
      </c>
      <c r="D745" s="21" t="s">
        <v>37</v>
      </c>
      <c r="E745" s="9">
        <v>3</v>
      </c>
      <c r="F745" s="9" t="s">
        <v>36</v>
      </c>
      <c r="G745" s="9"/>
      <c r="H745" s="5"/>
    </row>
    <row r="746" spans="1:9" x14ac:dyDescent="0.55000000000000004">
      <c r="A746" s="10" t="s">
        <v>76</v>
      </c>
      <c r="B746" s="9">
        <v>49</v>
      </c>
      <c r="C746" s="9">
        <v>66</v>
      </c>
      <c r="D746" s="21" t="s">
        <v>37</v>
      </c>
      <c r="E746" s="9">
        <v>3</v>
      </c>
      <c r="F746" s="9" t="s">
        <v>36</v>
      </c>
      <c r="G746" s="9"/>
      <c r="H746" s="5"/>
    </row>
    <row r="747" spans="1:9" x14ac:dyDescent="0.55000000000000004">
      <c r="A747" s="11" t="s">
        <v>51</v>
      </c>
      <c r="B747" s="12">
        <v>54</v>
      </c>
      <c r="C747" s="12">
        <v>68</v>
      </c>
      <c r="D747" s="21" t="s">
        <v>37</v>
      </c>
      <c r="E747" s="9">
        <v>3</v>
      </c>
      <c r="F747" s="9" t="s">
        <v>36</v>
      </c>
      <c r="G747" s="9"/>
      <c r="H747" s="80"/>
    </row>
    <row r="748" spans="1:9" ht="14.7" thickBot="1" x14ac:dyDescent="0.6">
      <c r="A748" s="13" t="s">
        <v>52</v>
      </c>
      <c r="B748" s="14">
        <v>53</v>
      </c>
      <c r="C748" s="14">
        <v>68</v>
      </c>
      <c r="D748" s="23" t="s">
        <v>37</v>
      </c>
      <c r="E748" s="14">
        <v>3</v>
      </c>
      <c r="F748" s="14" t="s">
        <v>36</v>
      </c>
      <c r="G748" s="14">
        <v>594</v>
      </c>
      <c r="H748" s="14">
        <f>Tabla269161967[[#This Row],[Total cluster weight (g)]]/COUNTA(A744:A748)</f>
        <v>118.8</v>
      </c>
    </row>
    <row r="749" spans="1:9" x14ac:dyDescent="0.55000000000000004">
      <c r="A749" s="6" t="s">
        <v>53</v>
      </c>
      <c r="B749" s="7">
        <v>39</v>
      </c>
      <c r="C749" s="7">
        <v>47</v>
      </c>
      <c r="D749" s="21" t="s">
        <v>37</v>
      </c>
      <c r="E749" s="9">
        <v>4</v>
      </c>
      <c r="F749" s="9" t="s">
        <v>61</v>
      </c>
      <c r="G749" s="9"/>
      <c r="H749" s="5"/>
    </row>
    <row r="750" spans="1:9" x14ac:dyDescent="0.55000000000000004">
      <c r="A750" s="8" t="s">
        <v>80</v>
      </c>
      <c r="B750" s="9">
        <v>41</v>
      </c>
      <c r="C750" s="9">
        <v>52</v>
      </c>
      <c r="D750" s="21" t="s">
        <v>37</v>
      </c>
      <c r="E750" s="9">
        <v>4</v>
      </c>
      <c r="F750" s="9" t="s">
        <v>68</v>
      </c>
      <c r="G750" s="9"/>
      <c r="H750" s="5"/>
    </row>
    <row r="751" spans="1:9" x14ac:dyDescent="0.55000000000000004">
      <c r="A751" s="10" t="s">
        <v>81</v>
      </c>
      <c r="B751" s="9">
        <v>43</v>
      </c>
      <c r="C751" s="9">
        <v>58</v>
      </c>
      <c r="D751" s="21" t="s">
        <v>37</v>
      </c>
      <c r="E751" s="9">
        <v>4</v>
      </c>
      <c r="F751" s="9" t="s">
        <v>35</v>
      </c>
      <c r="G751" s="9"/>
      <c r="H751" s="5"/>
    </row>
    <row r="752" spans="1:9" x14ac:dyDescent="0.55000000000000004">
      <c r="A752" s="11" t="s">
        <v>66</v>
      </c>
      <c r="B752" s="12">
        <v>43</v>
      </c>
      <c r="C752" s="12">
        <v>54</v>
      </c>
      <c r="D752" s="21" t="s">
        <v>37</v>
      </c>
      <c r="E752" s="9">
        <v>4</v>
      </c>
      <c r="F752" s="12" t="s">
        <v>36</v>
      </c>
      <c r="G752" s="9"/>
      <c r="H752" s="5"/>
    </row>
    <row r="753" spans="1:8" ht="14.7" thickBot="1" x14ac:dyDescent="0.6">
      <c r="A753" s="13" t="s">
        <v>67</v>
      </c>
      <c r="B753" s="14">
        <v>46</v>
      </c>
      <c r="C753" s="14">
        <v>60</v>
      </c>
      <c r="D753" s="23" t="s">
        <v>37</v>
      </c>
      <c r="E753" s="14">
        <v>4</v>
      </c>
      <c r="F753" s="14" t="s">
        <v>36</v>
      </c>
      <c r="G753" s="14">
        <v>336</v>
      </c>
      <c r="H753" s="14">
        <f>Tabla269161967[[#This Row],[Total cluster weight (g)]]/COUNTA(A749:A753)</f>
        <v>67.2</v>
      </c>
    </row>
    <row r="754" spans="1:8" x14ac:dyDescent="0.55000000000000004">
      <c r="A754" s="6" t="s">
        <v>71</v>
      </c>
      <c r="B754" s="7">
        <v>52</v>
      </c>
      <c r="C754" s="7">
        <v>61</v>
      </c>
      <c r="D754" s="21" t="s">
        <v>37</v>
      </c>
      <c r="E754" s="9">
        <v>5</v>
      </c>
      <c r="F754" s="9" t="s">
        <v>68</v>
      </c>
      <c r="G754" s="9"/>
      <c r="H754" s="92"/>
    </row>
    <row r="755" spans="1:8" x14ac:dyDescent="0.55000000000000004">
      <c r="A755" s="8" t="s">
        <v>89</v>
      </c>
      <c r="B755" s="9">
        <v>52</v>
      </c>
      <c r="C755" s="9">
        <v>63</v>
      </c>
      <c r="D755" s="21" t="s">
        <v>37</v>
      </c>
      <c r="E755" s="9">
        <v>5</v>
      </c>
      <c r="F755" s="9" t="s">
        <v>35</v>
      </c>
      <c r="G755" s="9"/>
      <c r="H755" s="92"/>
    </row>
    <row r="756" spans="1:8" x14ac:dyDescent="0.55000000000000004">
      <c r="A756" s="10" t="s">
        <v>92</v>
      </c>
      <c r="B756" s="9">
        <v>54</v>
      </c>
      <c r="C756" s="9">
        <v>64</v>
      </c>
      <c r="D756" s="21" t="s">
        <v>37</v>
      </c>
      <c r="E756" s="9">
        <v>5</v>
      </c>
      <c r="F756" s="9" t="s">
        <v>36</v>
      </c>
      <c r="G756" s="9"/>
      <c r="H756" s="92"/>
    </row>
    <row r="757" spans="1:8" x14ac:dyDescent="0.55000000000000004">
      <c r="A757" s="11" t="s">
        <v>93</v>
      </c>
      <c r="B757" s="12">
        <v>53</v>
      </c>
      <c r="C757" s="12">
        <v>64</v>
      </c>
      <c r="D757" s="21" t="s">
        <v>37</v>
      </c>
      <c r="E757" s="9">
        <v>5</v>
      </c>
      <c r="F757" s="9" t="s">
        <v>36</v>
      </c>
      <c r="G757" s="9"/>
      <c r="H757" s="92"/>
    </row>
    <row r="758" spans="1:8" ht="14.7" thickBot="1" x14ac:dyDescent="0.6">
      <c r="A758" s="13" t="s">
        <v>94</v>
      </c>
      <c r="B758" s="14">
        <v>56</v>
      </c>
      <c r="C758" s="14">
        <v>65</v>
      </c>
      <c r="D758" s="23" t="s">
        <v>37</v>
      </c>
      <c r="E758" s="14">
        <v>5</v>
      </c>
      <c r="F758" s="14" t="s">
        <v>36</v>
      </c>
      <c r="G758" s="14">
        <v>566.5</v>
      </c>
      <c r="H758" s="14">
        <f>Tabla269161967[[#This Row],[Total cluster weight (g)]]/COUNTA(A754:A758)</f>
        <v>113.3</v>
      </c>
    </row>
    <row r="759" spans="1:8" x14ac:dyDescent="0.55000000000000004">
      <c r="A759" s="34" t="s">
        <v>95</v>
      </c>
      <c r="B759" s="12">
        <v>53</v>
      </c>
      <c r="C759" s="12">
        <v>66</v>
      </c>
      <c r="D759" s="28" t="s">
        <v>37</v>
      </c>
      <c r="E759" s="12">
        <v>6</v>
      </c>
      <c r="F759" s="12" t="s">
        <v>36</v>
      </c>
      <c r="G759" s="12"/>
      <c r="H759" s="93"/>
    </row>
    <row r="760" spans="1:8" x14ac:dyDescent="0.55000000000000004">
      <c r="A760" s="10" t="s">
        <v>144</v>
      </c>
      <c r="B760" s="9">
        <v>52</v>
      </c>
      <c r="C760" s="9">
        <v>67</v>
      </c>
      <c r="D760" s="21" t="s">
        <v>37</v>
      </c>
      <c r="E760" s="9">
        <v>6</v>
      </c>
      <c r="F760" s="9" t="s">
        <v>36</v>
      </c>
      <c r="G760" s="9"/>
      <c r="H760" s="88"/>
    </row>
    <row r="761" spans="1:8" x14ac:dyDescent="0.55000000000000004">
      <c r="A761" s="10" t="s">
        <v>150</v>
      </c>
      <c r="B761" s="9">
        <v>56</v>
      </c>
      <c r="C761" s="9">
        <v>71</v>
      </c>
      <c r="D761" s="21" t="s">
        <v>37</v>
      </c>
      <c r="E761" s="9">
        <v>6</v>
      </c>
      <c r="F761" s="9" t="s">
        <v>36</v>
      </c>
      <c r="G761" s="9"/>
      <c r="H761" s="88"/>
    </row>
    <row r="762" spans="1:8" x14ac:dyDescent="0.55000000000000004">
      <c r="A762" s="10" t="s">
        <v>151</v>
      </c>
      <c r="B762" s="9">
        <v>55</v>
      </c>
      <c r="C762" s="9">
        <v>65</v>
      </c>
      <c r="D762" s="21" t="s">
        <v>37</v>
      </c>
      <c r="E762" s="9">
        <v>6</v>
      </c>
      <c r="F762" s="9" t="s">
        <v>36</v>
      </c>
      <c r="G762" s="9"/>
      <c r="H762" s="88"/>
    </row>
    <row r="763" spans="1:8" ht="14.7" thickBot="1" x14ac:dyDescent="0.6">
      <c r="A763" s="35" t="s">
        <v>152</v>
      </c>
      <c r="B763" s="14">
        <v>55</v>
      </c>
      <c r="C763" s="14">
        <v>69</v>
      </c>
      <c r="D763" s="23" t="s">
        <v>37</v>
      </c>
      <c r="E763" s="14">
        <v>6</v>
      </c>
      <c r="F763" s="14" t="s">
        <v>36</v>
      </c>
      <c r="G763" s="14">
        <v>660.5</v>
      </c>
      <c r="H763" s="102">
        <f>Tabla269161967[[#This Row],[Total cluster weight (g)]]/COUNTA(A759:A763)</f>
        <v>132.1</v>
      </c>
    </row>
    <row r="764" spans="1:8" x14ac:dyDescent="0.55000000000000004">
      <c r="A764" s="34" t="s">
        <v>153</v>
      </c>
      <c r="B764" s="12">
        <v>51</v>
      </c>
      <c r="C764" s="12">
        <v>62</v>
      </c>
      <c r="D764" s="28" t="s">
        <v>37</v>
      </c>
      <c r="E764" s="12">
        <v>7</v>
      </c>
      <c r="F764" s="12" t="s">
        <v>35</v>
      </c>
      <c r="G764" s="12"/>
      <c r="H764" s="93"/>
    </row>
    <row r="765" spans="1:8" x14ac:dyDescent="0.55000000000000004">
      <c r="A765" s="10" t="s">
        <v>158</v>
      </c>
      <c r="B765" s="9">
        <v>52</v>
      </c>
      <c r="C765" s="9">
        <v>62</v>
      </c>
      <c r="D765" s="21" t="s">
        <v>37</v>
      </c>
      <c r="E765" s="9">
        <v>7</v>
      </c>
      <c r="F765" s="9" t="s">
        <v>36</v>
      </c>
      <c r="G765" s="9"/>
      <c r="H765" s="88"/>
    </row>
    <row r="766" spans="1:8" x14ac:dyDescent="0.55000000000000004">
      <c r="A766" s="10" t="s">
        <v>215</v>
      </c>
      <c r="B766" s="9">
        <v>51</v>
      </c>
      <c r="C766" s="9">
        <v>65</v>
      </c>
      <c r="D766" s="21" t="s">
        <v>37</v>
      </c>
      <c r="E766" s="9">
        <v>7</v>
      </c>
      <c r="F766" s="9" t="s">
        <v>36</v>
      </c>
      <c r="G766" s="9"/>
      <c r="H766" s="88"/>
    </row>
    <row r="767" spans="1:8" x14ac:dyDescent="0.55000000000000004">
      <c r="A767" s="10" t="s">
        <v>216</v>
      </c>
      <c r="B767" s="9">
        <v>51</v>
      </c>
      <c r="C767" s="9">
        <v>65</v>
      </c>
      <c r="D767" s="21" t="s">
        <v>37</v>
      </c>
      <c r="E767" s="9">
        <v>7</v>
      </c>
      <c r="F767" s="9" t="s">
        <v>36</v>
      </c>
      <c r="G767" s="9"/>
      <c r="H767" s="88"/>
    </row>
    <row r="768" spans="1:8" ht="14.7" thickBot="1" x14ac:dyDescent="0.6">
      <c r="A768" s="35" t="s">
        <v>217</v>
      </c>
      <c r="B768" s="14">
        <v>53</v>
      </c>
      <c r="C768" s="14">
        <v>68</v>
      </c>
      <c r="D768" s="23" t="s">
        <v>37</v>
      </c>
      <c r="E768" s="14">
        <v>7</v>
      </c>
      <c r="F768" s="14" t="s">
        <v>36</v>
      </c>
      <c r="G768" s="14">
        <v>580.5</v>
      </c>
      <c r="H768" s="102">
        <f>Tabla269161967[[#This Row],[Total cluster weight (g)]]/COUNTA(A764:A768)</f>
        <v>116.1</v>
      </c>
    </row>
    <row r="769" spans="1:8" x14ac:dyDescent="0.55000000000000004">
      <c r="A769" s="34" t="s">
        <v>218</v>
      </c>
      <c r="B769" s="12">
        <v>54</v>
      </c>
      <c r="C769" s="12">
        <v>68</v>
      </c>
      <c r="D769" s="28" t="s">
        <v>37</v>
      </c>
      <c r="E769" s="12">
        <v>8</v>
      </c>
      <c r="F769" s="12" t="s">
        <v>35</v>
      </c>
      <c r="G769" s="12"/>
      <c r="H769" s="93"/>
    </row>
    <row r="770" spans="1:8" x14ac:dyDescent="0.55000000000000004">
      <c r="A770" s="10" t="s">
        <v>219</v>
      </c>
      <c r="B770" s="9">
        <v>54</v>
      </c>
      <c r="C770" s="9">
        <v>66</v>
      </c>
      <c r="D770" s="21" t="s">
        <v>37</v>
      </c>
      <c r="E770" s="9">
        <v>8</v>
      </c>
      <c r="F770" s="9" t="s">
        <v>36</v>
      </c>
      <c r="G770" s="9"/>
      <c r="H770" s="88"/>
    </row>
    <row r="771" spans="1:8" x14ac:dyDescent="0.55000000000000004">
      <c r="A771" s="10" t="s">
        <v>222</v>
      </c>
      <c r="B771" s="9">
        <v>53</v>
      </c>
      <c r="C771" s="9">
        <v>69</v>
      </c>
      <c r="D771" s="21" t="s">
        <v>37</v>
      </c>
      <c r="E771" s="9">
        <v>8</v>
      </c>
      <c r="F771" s="9" t="s">
        <v>36</v>
      </c>
      <c r="G771" s="9"/>
      <c r="H771" s="88"/>
    </row>
    <row r="772" spans="1:8" ht="14.7" thickBot="1" x14ac:dyDescent="0.6">
      <c r="A772" s="35" t="s">
        <v>223</v>
      </c>
      <c r="B772" s="14">
        <v>54</v>
      </c>
      <c r="C772" s="14">
        <v>68</v>
      </c>
      <c r="D772" s="23" t="s">
        <v>37</v>
      </c>
      <c r="E772" s="14">
        <v>8</v>
      </c>
      <c r="F772" s="14" t="s">
        <v>36</v>
      </c>
      <c r="G772" s="14">
        <v>541</v>
      </c>
      <c r="H772" s="102">
        <f>Tabla269161967[[#This Row],[Total cluster weight (g)]]/COUNTA(A769:A772)</f>
        <v>135.25</v>
      </c>
    </row>
    <row r="773" spans="1:8" x14ac:dyDescent="0.55000000000000004">
      <c r="A773" s="6" t="s">
        <v>232</v>
      </c>
      <c r="B773" s="7">
        <v>50</v>
      </c>
      <c r="C773" s="7">
        <v>61</v>
      </c>
      <c r="D773" s="9" t="s">
        <v>37</v>
      </c>
      <c r="E773" s="9">
        <v>9</v>
      </c>
      <c r="F773" s="20" t="s">
        <v>35</v>
      </c>
      <c r="G773" s="9"/>
      <c r="H773" s="92"/>
    </row>
    <row r="774" spans="1:8" x14ac:dyDescent="0.55000000000000004">
      <c r="A774" s="8" t="s">
        <v>233</v>
      </c>
      <c r="B774" s="9">
        <v>54</v>
      </c>
      <c r="C774" s="9">
        <v>66</v>
      </c>
      <c r="D774" s="9" t="s">
        <v>37</v>
      </c>
      <c r="E774" s="9">
        <v>9</v>
      </c>
      <c r="F774" s="9" t="s">
        <v>35</v>
      </c>
      <c r="G774" s="9"/>
      <c r="H774" s="92"/>
    </row>
    <row r="775" spans="1:8" x14ac:dyDescent="0.55000000000000004">
      <c r="A775" s="10" t="s">
        <v>234</v>
      </c>
      <c r="B775" s="9">
        <v>55</v>
      </c>
      <c r="C775" s="9">
        <v>64</v>
      </c>
      <c r="D775" s="9" t="s">
        <v>37</v>
      </c>
      <c r="E775" s="9">
        <v>9</v>
      </c>
      <c r="F775" s="9" t="s">
        <v>36</v>
      </c>
      <c r="G775" s="9"/>
      <c r="H775" s="92"/>
    </row>
    <row r="776" spans="1:8" x14ac:dyDescent="0.55000000000000004">
      <c r="A776" s="11" t="s">
        <v>235</v>
      </c>
      <c r="B776" s="12">
        <v>55</v>
      </c>
      <c r="C776" s="12">
        <v>70</v>
      </c>
      <c r="D776" s="9" t="s">
        <v>37</v>
      </c>
      <c r="E776" s="9">
        <v>9</v>
      </c>
      <c r="F776" s="9" t="s">
        <v>36</v>
      </c>
      <c r="G776" s="9"/>
      <c r="H776" s="92"/>
    </row>
    <row r="777" spans="1:8" ht="14.7" thickBot="1" x14ac:dyDescent="0.6">
      <c r="A777" s="13" t="s">
        <v>236</v>
      </c>
      <c r="B777" s="14">
        <v>56</v>
      </c>
      <c r="C777" s="14">
        <v>70</v>
      </c>
      <c r="D777" s="14" t="s">
        <v>37</v>
      </c>
      <c r="E777" s="14">
        <v>9</v>
      </c>
      <c r="F777" s="22" t="s">
        <v>36</v>
      </c>
      <c r="G777" s="14">
        <v>650.5</v>
      </c>
      <c r="H777" s="112">
        <f>Tabla269161967[[#This Row],[Total cluster weight (g)]]/COUNTA(A773:A777)</f>
        <v>130.1</v>
      </c>
    </row>
    <row r="778" spans="1:8" x14ac:dyDescent="0.55000000000000004">
      <c r="A778" s="29"/>
      <c r="B778" s="30"/>
      <c r="C778" s="4"/>
      <c r="D778" s="31"/>
      <c r="E778" s="4"/>
      <c r="F778" s="4"/>
      <c r="G778" s="4"/>
    </row>
    <row r="779" spans="1:8" x14ac:dyDescent="0.55000000000000004">
      <c r="A779" s="59" t="s">
        <v>174</v>
      </c>
      <c r="B779" s="55" t="s">
        <v>162</v>
      </c>
      <c r="C779" s="55" t="s">
        <v>163</v>
      </c>
      <c r="D779" s="55" t="s">
        <v>164</v>
      </c>
      <c r="E779" s="55" t="s">
        <v>165</v>
      </c>
      <c r="F779" s="56" t="s">
        <v>189</v>
      </c>
      <c r="G779" s="110" t="s">
        <v>230</v>
      </c>
    </row>
    <row r="780" spans="1:8" x14ac:dyDescent="0.55000000000000004">
      <c r="A780" s="60" t="s">
        <v>166</v>
      </c>
      <c r="B780" s="57">
        <f>AVERAGE(Tabla269161967[Height (mm)])</f>
        <v>50.953488372093027</v>
      </c>
      <c r="C780" s="57">
        <f>AVERAGE(Tabla269161967[Width (mm)])</f>
        <v>63.767441860465119</v>
      </c>
      <c r="D780" s="57">
        <f>MAX(Tabla269161967[[Cluster number ]])</f>
        <v>9</v>
      </c>
      <c r="E780" s="57">
        <f>AVERAGE(Tabla269161967[Tomato average weight per cluster])</f>
        <v>114.26944444444445</v>
      </c>
      <c r="F780" s="58">
        <f>COUNTA(Tabla269161967["C16" PLANT])</f>
        <v>43</v>
      </c>
      <c r="G780" s="109">
        <f>SUM(Tabla269161967[Total cluster weight (g)])</f>
        <v>4909.5</v>
      </c>
    </row>
    <row r="782" spans="1:8" ht="14.7" thickBot="1" x14ac:dyDescent="0.6">
      <c r="A782" s="5" t="s">
        <v>29</v>
      </c>
      <c r="B782" t="s">
        <v>3</v>
      </c>
      <c r="C782" t="s">
        <v>4</v>
      </c>
      <c r="D782" t="s">
        <v>5</v>
      </c>
      <c r="E782" t="s">
        <v>6</v>
      </c>
      <c r="F782" t="s">
        <v>7</v>
      </c>
      <c r="G782" t="s">
        <v>8</v>
      </c>
      <c r="H782" t="s">
        <v>161</v>
      </c>
    </row>
    <row r="783" spans="1:8" x14ac:dyDescent="0.55000000000000004">
      <c r="A783" s="6" t="s">
        <v>9</v>
      </c>
      <c r="B783" s="7">
        <v>46</v>
      </c>
      <c r="C783" s="7">
        <v>59</v>
      </c>
      <c r="D783" s="28" t="s">
        <v>37</v>
      </c>
      <c r="E783" s="9">
        <v>1</v>
      </c>
      <c r="F783" s="12" t="s">
        <v>36</v>
      </c>
      <c r="G783" s="9"/>
      <c r="H783" s="12"/>
    </row>
    <row r="784" spans="1:8" x14ac:dyDescent="0.55000000000000004">
      <c r="A784" s="10" t="s">
        <v>10</v>
      </c>
      <c r="B784" s="9">
        <v>48</v>
      </c>
      <c r="C784" s="9">
        <v>57</v>
      </c>
      <c r="D784" s="21" t="s">
        <v>37</v>
      </c>
      <c r="E784" s="9">
        <v>1</v>
      </c>
      <c r="F784" s="9" t="s">
        <v>36</v>
      </c>
      <c r="G784" s="9"/>
      <c r="H784" s="9"/>
    </row>
    <row r="785" spans="1:9" x14ac:dyDescent="0.55000000000000004">
      <c r="A785" s="10" t="s">
        <v>11</v>
      </c>
      <c r="B785" s="9">
        <v>44</v>
      </c>
      <c r="C785" s="9">
        <v>55</v>
      </c>
      <c r="D785" s="21" t="s">
        <v>37</v>
      </c>
      <c r="E785" s="9">
        <v>1</v>
      </c>
      <c r="F785" s="9" t="s">
        <v>36</v>
      </c>
      <c r="G785" s="9"/>
      <c r="H785" s="9"/>
    </row>
    <row r="786" spans="1:9" x14ac:dyDescent="0.55000000000000004">
      <c r="A786" s="11" t="s">
        <v>12</v>
      </c>
      <c r="B786" s="9">
        <v>51</v>
      </c>
      <c r="C786" s="9">
        <v>61</v>
      </c>
      <c r="D786" s="21" t="s">
        <v>37</v>
      </c>
      <c r="E786" s="9">
        <v>1</v>
      </c>
      <c r="F786" s="9" t="s">
        <v>36</v>
      </c>
      <c r="G786" s="9"/>
      <c r="H786" s="9"/>
    </row>
    <row r="787" spans="1:9" ht="14.7" thickBot="1" x14ac:dyDescent="0.6">
      <c r="A787" s="13" t="s">
        <v>13</v>
      </c>
      <c r="B787" s="14">
        <v>52</v>
      </c>
      <c r="C787" s="14">
        <v>67</v>
      </c>
      <c r="D787" s="23" t="s">
        <v>37</v>
      </c>
      <c r="E787" s="14">
        <v>1</v>
      </c>
      <c r="F787" s="14" t="s">
        <v>36</v>
      </c>
      <c r="G787" s="14">
        <v>476</v>
      </c>
      <c r="H787" s="14">
        <f>Tabla269162068[[#This Row],[Total cluster weight (g)]]/COUNTA(A783:A787)</f>
        <v>95.2</v>
      </c>
    </row>
    <row r="788" spans="1:9" x14ac:dyDescent="0.55000000000000004">
      <c r="A788" s="6" t="s">
        <v>77</v>
      </c>
      <c r="B788" s="9">
        <v>49</v>
      </c>
      <c r="C788" s="9">
        <v>64</v>
      </c>
      <c r="D788" s="21" t="s">
        <v>37</v>
      </c>
      <c r="E788" s="9">
        <v>2</v>
      </c>
      <c r="F788" s="9" t="s">
        <v>36</v>
      </c>
      <c r="G788" s="9"/>
      <c r="H788" s="12"/>
      <c r="I788" t="s">
        <v>56</v>
      </c>
    </row>
    <row r="789" spans="1:9" x14ac:dyDescent="0.55000000000000004">
      <c r="A789" s="10" t="s">
        <v>78</v>
      </c>
      <c r="B789" s="9">
        <v>52</v>
      </c>
      <c r="C789" s="9">
        <v>66</v>
      </c>
      <c r="D789" s="21" t="s">
        <v>37</v>
      </c>
      <c r="E789" s="9">
        <v>2</v>
      </c>
      <c r="F789" s="9" t="s">
        <v>36</v>
      </c>
      <c r="G789" s="9"/>
      <c r="H789" s="9"/>
    </row>
    <row r="790" spans="1:9" x14ac:dyDescent="0.55000000000000004">
      <c r="A790" s="10" t="s">
        <v>79</v>
      </c>
      <c r="B790" s="9">
        <v>51</v>
      </c>
      <c r="C790" s="9">
        <v>66</v>
      </c>
      <c r="D790" s="21" t="s">
        <v>37</v>
      </c>
      <c r="E790" s="9">
        <v>2</v>
      </c>
      <c r="F790" s="9" t="s">
        <v>36</v>
      </c>
      <c r="G790" s="9"/>
      <c r="H790" s="9"/>
    </row>
    <row r="791" spans="1:9" x14ac:dyDescent="0.55000000000000004">
      <c r="A791" s="11" t="s">
        <v>47</v>
      </c>
      <c r="B791" s="9">
        <v>53</v>
      </c>
      <c r="C791" s="9">
        <v>66</v>
      </c>
      <c r="D791" s="21" t="s">
        <v>37</v>
      </c>
      <c r="E791" s="9">
        <v>2</v>
      </c>
      <c r="F791" s="9" t="s">
        <v>36</v>
      </c>
      <c r="G791" s="9"/>
      <c r="H791" s="9"/>
    </row>
    <row r="792" spans="1:9" ht="14.7" thickBot="1" x14ac:dyDescent="0.6">
      <c r="A792" s="13" t="s">
        <v>48</v>
      </c>
      <c r="B792" s="14">
        <v>52</v>
      </c>
      <c r="C792" s="14">
        <v>65</v>
      </c>
      <c r="D792" s="23" t="s">
        <v>37</v>
      </c>
      <c r="E792" s="14">
        <v>2</v>
      </c>
      <c r="F792" s="14" t="s">
        <v>36</v>
      </c>
      <c r="G792" s="14">
        <v>568</v>
      </c>
      <c r="H792" s="14">
        <f>Tabla269162068[[#This Row],[Total cluster weight (g)]]/COUNTA(A788:A792)</f>
        <v>113.6</v>
      </c>
    </row>
    <row r="793" spans="1:9" x14ac:dyDescent="0.55000000000000004">
      <c r="A793" s="11" t="s">
        <v>49</v>
      </c>
      <c r="B793" s="12">
        <v>44</v>
      </c>
      <c r="C793" s="12">
        <v>58</v>
      </c>
      <c r="D793" s="28" t="s">
        <v>37</v>
      </c>
      <c r="E793" s="12">
        <v>3</v>
      </c>
      <c r="F793" s="12" t="s">
        <v>68</v>
      </c>
      <c r="G793" s="12"/>
      <c r="H793" s="12"/>
    </row>
    <row r="794" spans="1:9" x14ac:dyDescent="0.55000000000000004">
      <c r="A794" s="10" t="s">
        <v>50</v>
      </c>
      <c r="B794" s="9">
        <v>47</v>
      </c>
      <c r="C794" s="9">
        <v>55</v>
      </c>
      <c r="D794" s="21" t="s">
        <v>37</v>
      </c>
      <c r="E794" s="9">
        <v>3</v>
      </c>
      <c r="F794" s="9" t="s">
        <v>35</v>
      </c>
      <c r="G794" s="9"/>
      <c r="H794" s="9"/>
    </row>
    <row r="795" spans="1:9" x14ac:dyDescent="0.55000000000000004">
      <c r="A795" s="10" t="s">
        <v>51</v>
      </c>
      <c r="B795" s="9">
        <v>49</v>
      </c>
      <c r="C795" s="9">
        <v>66</v>
      </c>
      <c r="D795" s="21" t="s">
        <v>37</v>
      </c>
      <c r="E795" s="9">
        <v>3</v>
      </c>
      <c r="F795" s="9" t="s">
        <v>35</v>
      </c>
      <c r="G795" s="9"/>
      <c r="H795" s="9"/>
    </row>
    <row r="796" spans="1:9" x14ac:dyDescent="0.55000000000000004">
      <c r="A796" s="11" t="s">
        <v>52</v>
      </c>
      <c r="B796" s="9">
        <v>50</v>
      </c>
      <c r="C796" s="9">
        <v>62</v>
      </c>
      <c r="D796" s="21" t="s">
        <v>37</v>
      </c>
      <c r="E796" s="9">
        <v>3</v>
      </c>
      <c r="F796" s="9" t="s">
        <v>36</v>
      </c>
      <c r="G796" s="9"/>
      <c r="H796" s="9"/>
    </row>
    <row r="797" spans="1:9" ht="14.7" thickBot="1" x14ac:dyDescent="0.6">
      <c r="A797" s="13" t="s">
        <v>53</v>
      </c>
      <c r="B797" s="14">
        <v>47</v>
      </c>
      <c r="C797" s="14">
        <v>64</v>
      </c>
      <c r="D797" s="23" t="s">
        <v>37</v>
      </c>
      <c r="E797" s="14">
        <v>3</v>
      </c>
      <c r="F797" s="14" t="s">
        <v>36</v>
      </c>
      <c r="G797" s="14">
        <v>457.5</v>
      </c>
      <c r="H797" s="14">
        <f>Tabla269162068[[#This Row],[Total cluster weight (g)]]/COUNTA(A793:A797)</f>
        <v>91.5</v>
      </c>
    </row>
    <row r="798" spans="1:9" x14ac:dyDescent="0.55000000000000004">
      <c r="A798" s="6" t="s">
        <v>80</v>
      </c>
      <c r="B798" s="7">
        <v>47</v>
      </c>
      <c r="C798" s="7">
        <v>59</v>
      </c>
      <c r="D798" s="21" t="s">
        <v>37</v>
      </c>
      <c r="E798" s="9">
        <v>4</v>
      </c>
      <c r="F798" s="9" t="s">
        <v>35</v>
      </c>
      <c r="G798" s="9"/>
      <c r="H798" s="88"/>
    </row>
    <row r="799" spans="1:9" x14ac:dyDescent="0.55000000000000004">
      <c r="A799" s="10" t="s">
        <v>81</v>
      </c>
      <c r="B799" s="9">
        <v>50</v>
      </c>
      <c r="C799" s="9">
        <v>59</v>
      </c>
      <c r="D799" s="21" t="s">
        <v>37</v>
      </c>
      <c r="E799" s="9">
        <v>4</v>
      </c>
      <c r="F799" s="9" t="s">
        <v>35</v>
      </c>
      <c r="G799" s="9"/>
      <c r="H799" s="88"/>
    </row>
    <row r="800" spans="1:9" x14ac:dyDescent="0.55000000000000004">
      <c r="A800" s="10" t="s">
        <v>66</v>
      </c>
      <c r="B800" s="9">
        <v>52</v>
      </c>
      <c r="C800" s="9">
        <v>68</v>
      </c>
      <c r="D800" s="21" t="s">
        <v>37</v>
      </c>
      <c r="E800" s="9">
        <v>4</v>
      </c>
      <c r="F800" s="9" t="s">
        <v>36</v>
      </c>
      <c r="G800" s="9"/>
      <c r="H800" s="88"/>
    </row>
    <row r="801" spans="1:8" ht="14.7" thickBot="1" x14ac:dyDescent="0.6">
      <c r="A801" s="13" t="s">
        <v>67</v>
      </c>
      <c r="B801" s="14">
        <v>52</v>
      </c>
      <c r="C801" s="14">
        <v>68</v>
      </c>
      <c r="D801" s="23" t="s">
        <v>37</v>
      </c>
      <c r="E801" s="14">
        <v>4</v>
      </c>
      <c r="F801" s="14" t="s">
        <v>36</v>
      </c>
      <c r="G801" s="14">
        <v>402</v>
      </c>
      <c r="H801" s="14">
        <f>Tabla269162068[[#This Row],[Total cluster weight (g)]]/COUNTA(A798:A801)</f>
        <v>100.5</v>
      </c>
    </row>
    <row r="802" spans="1:8" x14ac:dyDescent="0.55000000000000004">
      <c r="A802" s="61" t="s">
        <v>71</v>
      </c>
      <c r="B802" s="9">
        <v>47</v>
      </c>
      <c r="C802" s="9">
        <v>58</v>
      </c>
      <c r="D802" s="21" t="s">
        <v>37</v>
      </c>
      <c r="E802" s="9">
        <v>5</v>
      </c>
      <c r="F802" s="9" t="s">
        <v>35</v>
      </c>
      <c r="G802" s="9"/>
      <c r="H802" s="88"/>
    </row>
    <row r="803" spans="1:8" x14ac:dyDescent="0.55000000000000004">
      <c r="A803" s="61" t="s">
        <v>89</v>
      </c>
      <c r="B803" s="9">
        <v>46</v>
      </c>
      <c r="C803" s="9">
        <v>56</v>
      </c>
      <c r="D803" s="21" t="s">
        <v>37</v>
      </c>
      <c r="E803" s="9">
        <v>5</v>
      </c>
      <c r="F803" s="9" t="s">
        <v>36</v>
      </c>
      <c r="G803" s="9"/>
      <c r="H803" s="88"/>
    </row>
    <row r="804" spans="1:8" x14ac:dyDescent="0.55000000000000004">
      <c r="A804" s="61" t="s">
        <v>92</v>
      </c>
      <c r="B804" s="9">
        <v>49</v>
      </c>
      <c r="C804" s="9">
        <v>63</v>
      </c>
      <c r="D804" s="21" t="s">
        <v>37</v>
      </c>
      <c r="E804" s="9">
        <v>5</v>
      </c>
      <c r="F804" s="9" t="s">
        <v>36</v>
      </c>
      <c r="G804" s="9"/>
      <c r="H804" s="88"/>
    </row>
    <row r="805" spans="1:8" x14ac:dyDescent="0.55000000000000004">
      <c r="A805" s="61" t="s">
        <v>93</v>
      </c>
      <c r="B805" s="9">
        <v>50</v>
      </c>
      <c r="C805" s="9">
        <v>60</v>
      </c>
      <c r="D805" s="21">
        <v>101.5</v>
      </c>
      <c r="E805" s="9">
        <v>5</v>
      </c>
      <c r="F805" s="9" t="s">
        <v>36</v>
      </c>
      <c r="G805" s="9"/>
      <c r="H805" s="88"/>
    </row>
    <row r="806" spans="1:8" ht="14.7" thickBot="1" x14ac:dyDescent="0.6">
      <c r="A806" s="94" t="s">
        <v>94</v>
      </c>
      <c r="B806" s="14">
        <v>50</v>
      </c>
      <c r="C806" s="14">
        <v>63</v>
      </c>
      <c r="D806" s="23" t="s">
        <v>37</v>
      </c>
      <c r="E806" s="14">
        <v>5</v>
      </c>
      <c r="F806" s="14" t="s">
        <v>36</v>
      </c>
      <c r="G806" s="14">
        <v>480</v>
      </c>
      <c r="H806" s="102">
        <f>Tabla269162068[[#This Row],[Total cluster weight (g)]]/COUNTA(A802:A806)</f>
        <v>96</v>
      </c>
    </row>
    <row r="807" spans="1:8" x14ac:dyDescent="0.55000000000000004">
      <c r="A807" s="61" t="s">
        <v>95</v>
      </c>
      <c r="B807" s="9">
        <v>52</v>
      </c>
      <c r="C807" s="9">
        <v>65</v>
      </c>
      <c r="D807" s="21" t="s">
        <v>37</v>
      </c>
      <c r="E807" s="9">
        <v>6</v>
      </c>
      <c r="F807" s="9" t="s">
        <v>36</v>
      </c>
      <c r="G807" s="9"/>
      <c r="H807" s="88"/>
    </row>
    <row r="808" spans="1:8" x14ac:dyDescent="0.55000000000000004">
      <c r="A808" s="61" t="s">
        <v>144</v>
      </c>
      <c r="B808" s="9">
        <v>52</v>
      </c>
      <c r="C808" s="9">
        <v>71</v>
      </c>
      <c r="D808" s="21" t="s">
        <v>37</v>
      </c>
      <c r="E808" s="9">
        <v>6</v>
      </c>
      <c r="F808" s="9" t="s">
        <v>36</v>
      </c>
      <c r="G808" s="9"/>
      <c r="H808" s="88"/>
    </row>
    <row r="809" spans="1:8" x14ac:dyDescent="0.55000000000000004">
      <c r="A809" s="61" t="s">
        <v>150</v>
      </c>
      <c r="B809" s="9">
        <v>54</v>
      </c>
      <c r="C809" s="9">
        <v>73</v>
      </c>
      <c r="D809" s="21" t="s">
        <v>37</v>
      </c>
      <c r="E809" s="9">
        <v>6</v>
      </c>
      <c r="F809" s="9" t="s">
        <v>36</v>
      </c>
      <c r="G809" s="9"/>
      <c r="H809" s="88"/>
    </row>
    <row r="810" spans="1:8" x14ac:dyDescent="0.55000000000000004">
      <c r="A810" s="61" t="s">
        <v>151</v>
      </c>
      <c r="B810" s="9">
        <v>54</v>
      </c>
      <c r="C810" s="9">
        <v>64</v>
      </c>
      <c r="D810" s="21" t="s">
        <v>37</v>
      </c>
      <c r="E810" s="9">
        <v>6</v>
      </c>
      <c r="F810" s="9" t="s">
        <v>36</v>
      </c>
      <c r="G810" s="9"/>
      <c r="H810" s="88"/>
    </row>
    <row r="811" spans="1:8" ht="14.7" thickBot="1" x14ac:dyDescent="0.6">
      <c r="A811" s="94" t="s">
        <v>152</v>
      </c>
      <c r="B811" s="14">
        <v>52</v>
      </c>
      <c r="C811" s="14">
        <v>63</v>
      </c>
      <c r="D811" s="23" t="s">
        <v>37</v>
      </c>
      <c r="E811" s="14">
        <v>6</v>
      </c>
      <c r="F811" s="14" t="s">
        <v>36</v>
      </c>
      <c r="G811" s="14">
        <v>602.5</v>
      </c>
      <c r="H811" s="102">
        <f>Tabla269162068[[#This Row],[Total cluster weight (g)]]/COUNTA(A807:A811)</f>
        <v>120.5</v>
      </c>
    </row>
    <row r="812" spans="1:8" x14ac:dyDescent="0.55000000000000004">
      <c r="A812" s="61" t="s">
        <v>153</v>
      </c>
      <c r="B812" s="9">
        <v>53</v>
      </c>
      <c r="C812" s="9">
        <v>63</v>
      </c>
      <c r="D812" s="21" t="s">
        <v>37</v>
      </c>
      <c r="E812" s="9">
        <v>7</v>
      </c>
      <c r="F812" s="9" t="s">
        <v>36</v>
      </c>
      <c r="G812" s="9"/>
      <c r="H812" s="88"/>
    </row>
    <row r="813" spans="1:8" x14ac:dyDescent="0.55000000000000004">
      <c r="A813" s="61" t="s">
        <v>158</v>
      </c>
      <c r="B813" s="9">
        <v>53</v>
      </c>
      <c r="C813" s="9">
        <v>67</v>
      </c>
      <c r="D813" s="21" t="s">
        <v>37</v>
      </c>
      <c r="E813" s="9">
        <v>7</v>
      </c>
      <c r="F813" s="9" t="s">
        <v>36</v>
      </c>
      <c r="G813" s="9"/>
      <c r="H813" s="88"/>
    </row>
    <row r="814" spans="1:8" x14ac:dyDescent="0.55000000000000004">
      <c r="A814" s="61" t="s">
        <v>215</v>
      </c>
      <c r="B814" s="9">
        <v>55</v>
      </c>
      <c r="C814" s="9">
        <v>70</v>
      </c>
      <c r="D814" s="21" t="s">
        <v>37</v>
      </c>
      <c r="E814" s="9">
        <v>7</v>
      </c>
      <c r="F814" s="9" t="s">
        <v>36</v>
      </c>
      <c r="G814" s="9"/>
      <c r="H814" s="88"/>
    </row>
    <row r="815" spans="1:8" x14ac:dyDescent="0.55000000000000004">
      <c r="A815" s="61" t="s">
        <v>216</v>
      </c>
      <c r="B815" s="9">
        <v>54</v>
      </c>
      <c r="C815" s="9">
        <v>66</v>
      </c>
      <c r="D815" s="21" t="s">
        <v>37</v>
      </c>
      <c r="E815" s="9">
        <v>7</v>
      </c>
      <c r="F815" s="9" t="s">
        <v>36</v>
      </c>
      <c r="G815" s="9"/>
      <c r="H815" s="88"/>
    </row>
    <row r="816" spans="1:8" ht="14.7" thickBot="1" x14ac:dyDescent="0.6">
      <c r="A816" s="94" t="s">
        <v>217</v>
      </c>
      <c r="B816" s="14">
        <v>53</v>
      </c>
      <c r="C816" s="14">
        <v>70</v>
      </c>
      <c r="D816" s="23" t="s">
        <v>37</v>
      </c>
      <c r="E816" s="14">
        <v>7</v>
      </c>
      <c r="F816" s="14" t="s">
        <v>36</v>
      </c>
      <c r="G816" s="14">
        <v>628</v>
      </c>
      <c r="H816" s="102">
        <f>Tabla269162068[[#This Row],[Total cluster weight (g)]]/COUNTA(A812:A816)</f>
        <v>125.6</v>
      </c>
    </row>
    <row r="817" spans="1:8" x14ac:dyDescent="0.55000000000000004">
      <c r="A817" s="6" t="s">
        <v>218</v>
      </c>
      <c r="B817" s="9">
        <v>49</v>
      </c>
      <c r="C817" s="9">
        <v>61</v>
      </c>
      <c r="D817" s="21" t="s">
        <v>37</v>
      </c>
      <c r="E817" s="9">
        <v>8</v>
      </c>
      <c r="F817" s="9" t="s">
        <v>36</v>
      </c>
      <c r="G817" s="9"/>
      <c r="H817" s="88"/>
    </row>
    <row r="818" spans="1:8" x14ac:dyDescent="0.55000000000000004">
      <c r="A818" s="10" t="s">
        <v>219</v>
      </c>
      <c r="B818" s="9">
        <v>51</v>
      </c>
      <c r="C818" s="9">
        <v>59</v>
      </c>
      <c r="D818" s="21" t="s">
        <v>37</v>
      </c>
      <c r="E818" s="9">
        <v>8</v>
      </c>
      <c r="F818" s="9" t="s">
        <v>36</v>
      </c>
      <c r="G818" s="9"/>
      <c r="H818" s="88"/>
    </row>
    <row r="819" spans="1:8" x14ac:dyDescent="0.55000000000000004">
      <c r="A819" s="10" t="s">
        <v>222</v>
      </c>
      <c r="B819" s="9">
        <v>51</v>
      </c>
      <c r="C819" s="9">
        <v>62</v>
      </c>
      <c r="D819" s="21" t="s">
        <v>37</v>
      </c>
      <c r="E819" s="9">
        <v>8</v>
      </c>
      <c r="F819" s="9" t="s">
        <v>36</v>
      </c>
      <c r="G819" s="9"/>
      <c r="H819" s="88"/>
    </row>
    <row r="820" spans="1:8" x14ac:dyDescent="0.55000000000000004">
      <c r="A820" s="11" t="s">
        <v>223</v>
      </c>
      <c r="B820" s="9">
        <v>55</v>
      </c>
      <c r="C820" s="9">
        <v>63</v>
      </c>
      <c r="D820" s="21" t="s">
        <v>37</v>
      </c>
      <c r="E820" s="9">
        <v>8</v>
      </c>
      <c r="F820" s="9" t="s">
        <v>36</v>
      </c>
      <c r="G820" s="9"/>
      <c r="H820" s="88"/>
    </row>
    <row r="821" spans="1:8" ht="14.7" thickBot="1" x14ac:dyDescent="0.6">
      <c r="A821" s="13" t="s">
        <v>232</v>
      </c>
      <c r="B821" s="14">
        <v>43</v>
      </c>
      <c r="C821" s="14">
        <v>50</v>
      </c>
      <c r="D821" s="23" t="s">
        <v>37</v>
      </c>
      <c r="E821" s="14">
        <v>8</v>
      </c>
      <c r="F821" s="14" t="s">
        <v>36</v>
      </c>
      <c r="G821" s="14">
        <v>481</v>
      </c>
      <c r="H821" s="102">
        <f>Tabla269162068[[#This Row],[Total cluster weight (g)]]/COUNTA(A817:A821)</f>
        <v>96.2</v>
      </c>
    </row>
    <row r="822" spans="1:8" x14ac:dyDescent="0.55000000000000004">
      <c r="A822" s="29"/>
      <c r="B822" s="30"/>
      <c r="C822" s="4"/>
      <c r="D822" s="31"/>
      <c r="E822" s="4"/>
      <c r="F822" s="4"/>
      <c r="G822" s="4"/>
    </row>
    <row r="823" spans="1:8" x14ac:dyDescent="0.55000000000000004">
      <c r="A823" s="59" t="s">
        <v>173</v>
      </c>
      <c r="B823" s="55" t="s">
        <v>162</v>
      </c>
      <c r="C823" s="55" t="s">
        <v>163</v>
      </c>
      <c r="D823" s="55" t="s">
        <v>164</v>
      </c>
      <c r="E823" s="55" t="s">
        <v>165</v>
      </c>
      <c r="F823" s="56" t="s">
        <v>189</v>
      </c>
      <c r="G823" s="110" t="s">
        <v>230</v>
      </c>
    </row>
    <row r="824" spans="1:8" x14ac:dyDescent="0.55000000000000004">
      <c r="A824" s="60" t="s">
        <v>166</v>
      </c>
      <c r="B824" s="57">
        <f>AVERAGE(Tabla269162068[Height (mm)])</f>
        <v>50.230769230769234</v>
      </c>
      <c r="C824" s="57">
        <f>AVERAGE(Tabla269162068[Width (mm)])</f>
        <v>62.871794871794869</v>
      </c>
      <c r="D824" s="57">
        <f>MAX(Tabla269162068[[Cluster number ]])</f>
        <v>8</v>
      </c>
      <c r="E824" s="57">
        <f>AVERAGE(Tabla269162068[Tomato average weight per cluster])</f>
        <v>104.8875</v>
      </c>
      <c r="F824" s="58">
        <f>COUNTA(Tabla269162068["C17" PLANT])</f>
        <v>39</v>
      </c>
      <c r="G824" s="109">
        <f>SUM(Tabla269162068[Total cluster weight (g)])</f>
        <v>4095</v>
      </c>
    </row>
    <row r="826" spans="1:8" ht="14.7" thickBot="1" x14ac:dyDescent="0.6">
      <c r="A826" s="5" t="s">
        <v>30</v>
      </c>
      <c r="B826" t="s">
        <v>3</v>
      </c>
      <c r="C826" t="s">
        <v>4</v>
      </c>
      <c r="D826" t="s">
        <v>5</v>
      </c>
      <c r="E826" t="s">
        <v>6</v>
      </c>
      <c r="F826" t="s">
        <v>7</v>
      </c>
      <c r="G826" t="s">
        <v>8</v>
      </c>
      <c r="H826" t="s">
        <v>161</v>
      </c>
    </row>
    <row r="827" spans="1:8" x14ac:dyDescent="0.55000000000000004">
      <c r="A827" s="6" t="s">
        <v>9</v>
      </c>
      <c r="B827" s="9">
        <v>50</v>
      </c>
      <c r="C827" s="9">
        <v>59</v>
      </c>
      <c r="D827" s="21" t="s">
        <v>37</v>
      </c>
      <c r="E827" s="9">
        <v>1</v>
      </c>
      <c r="F827" s="9" t="s">
        <v>35</v>
      </c>
      <c r="G827" s="9"/>
      <c r="H827" s="12"/>
    </row>
    <row r="828" spans="1:8" x14ac:dyDescent="0.55000000000000004">
      <c r="A828" s="10" t="s">
        <v>10</v>
      </c>
      <c r="B828" s="9">
        <v>54</v>
      </c>
      <c r="C828" s="9">
        <v>70</v>
      </c>
      <c r="D828" s="21" t="s">
        <v>37</v>
      </c>
      <c r="E828" s="9">
        <v>1</v>
      </c>
      <c r="F828" s="9" t="s">
        <v>36</v>
      </c>
      <c r="G828" s="9"/>
      <c r="H828" s="9"/>
    </row>
    <row r="829" spans="1:8" x14ac:dyDescent="0.55000000000000004">
      <c r="A829" s="10" t="s">
        <v>11</v>
      </c>
      <c r="B829" s="9">
        <v>50</v>
      </c>
      <c r="C829" s="9">
        <v>56</v>
      </c>
      <c r="D829" s="21" t="s">
        <v>37</v>
      </c>
      <c r="E829" s="9">
        <v>1</v>
      </c>
      <c r="F829" s="9" t="s">
        <v>36</v>
      </c>
      <c r="G829" s="9"/>
      <c r="H829" s="9"/>
    </row>
    <row r="830" spans="1:8" x14ac:dyDescent="0.55000000000000004">
      <c r="A830" s="10" t="s">
        <v>12</v>
      </c>
      <c r="B830" s="9">
        <v>39</v>
      </c>
      <c r="C830" s="9">
        <v>47</v>
      </c>
      <c r="D830" s="21" t="s">
        <v>37</v>
      </c>
      <c r="E830" s="9">
        <v>1</v>
      </c>
      <c r="F830" s="9" t="s">
        <v>36</v>
      </c>
      <c r="G830" s="9"/>
      <c r="H830" s="9"/>
    </row>
    <row r="831" spans="1:8" ht="14.7" thickBot="1" x14ac:dyDescent="0.6">
      <c r="A831" s="13" t="s">
        <v>13</v>
      </c>
      <c r="B831" s="14">
        <v>43</v>
      </c>
      <c r="C831" s="14">
        <v>53</v>
      </c>
      <c r="D831" s="23" t="s">
        <v>37</v>
      </c>
      <c r="E831" s="14">
        <v>1</v>
      </c>
      <c r="F831" s="14" t="s">
        <v>36</v>
      </c>
      <c r="G831" s="14">
        <v>446.5</v>
      </c>
      <c r="H831" s="14">
        <f>Tabla269162169[[#This Row],[Total cluster weight (g)]]/COUNTA(A827:A831)</f>
        <v>89.3</v>
      </c>
    </row>
    <row r="832" spans="1:8" x14ac:dyDescent="0.55000000000000004">
      <c r="A832" s="6" t="s">
        <v>41</v>
      </c>
      <c r="B832" s="9">
        <v>50</v>
      </c>
      <c r="C832" s="9">
        <v>60</v>
      </c>
      <c r="D832" s="21" t="s">
        <v>37</v>
      </c>
      <c r="E832" s="9">
        <v>2</v>
      </c>
      <c r="F832" s="9" t="s">
        <v>35</v>
      </c>
      <c r="G832" s="9"/>
      <c r="H832" s="12"/>
    </row>
    <row r="833" spans="1:9" x14ac:dyDescent="0.55000000000000004">
      <c r="A833" s="10" t="s">
        <v>42</v>
      </c>
      <c r="B833" s="9">
        <v>49</v>
      </c>
      <c r="C833" s="9">
        <v>58</v>
      </c>
      <c r="D833" s="21" t="s">
        <v>37</v>
      </c>
      <c r="E833" s="9">
        <v>2</v>
      </c>
      <c r="F833" s="9" t="s">
        <v>36</v>
      </c>
      <c r="G833" s="9"/>
      <c r="H833" s="9"/>
    </row>
    <row r="834" spans="1:9" x14ac:dyDescent="0.55000000000000004">
      <c r="A834" s="10" t="s">
        <v>43</v>
      </c>
      <c r="B834" s="9">
        <v>49</v>
      </c>
      <c r="C834" s="9">
        <v>60</v>
      </c>
      <c r="D834" s="21" t="s">
        <v>37</v>
      </c>
      <c r="E834" s="9">
        <v>2</v>
      </c>
      <c r="F834" s="9" t="s">
        <v>36</v>
      </c>
      <c r="G834" s="9"/>
      <c r="H834" s="9"/>
    </row>
    <row r="835" spans="1:9" x14ac:dyDescent="0.55000000000000004">
      <c r="A835" s="11" t="s">
        <v>44</v>
      </c>
      <c r="B835" s="9">
        <v>50</v>
      </c>
      <c r="C835" s="9">
        <v>63</v>
      </c>
      <c r="D835" s="21">
        <v>114</v>
      </c>
      <c r="E835" s="9">
        <v>2</v>
      </c>
      <c r="F835" s="9" t="s">
        <v>36</v>
      </c>
      <c r="G835" s="9"/>
      <c r="H835" s="9"/>
      <c r="I835" t="s">
        <v>38</v>
      </c>
    </row>
    <row r="836" spans="1:9" ht="14.7" thickBot="1" x14ac:dyDescent="0.6">
      <c r="A836" s="13" t="s">
        <v>45</v>
      </c>
      <c r="B836" s="14">
        <v>50</v>
      </c>
      <c r="C836" s="14">
        <v>62</v>
      </c>
      <c r="D836" s="23">
        <v>109.5</v>
      </c>
      <c r="E836" s="14">
        <v>2</v>
      </c>
      <c r="F836" s="14" t="s">
        <v>36</v>
      </c>
      <c r="G836" s="14">
        <v>552.5</v>
      </c>
      <c r="H836" s="14">
        <f>Tabla269162169[[#This Row],[Total cluster weight (g)]]/COUNTA(A832:A836)</f>
        <v>110.5</v>
      </c>
      <c r="I836" t="s">
        <v>38</v>
      </c>
    </row>
    <row r="837" spans="1:9" x14ac:dyDescent="0.55000000000000004">
      <c r="A837" s="11" t="s">
        <v>49</v>
      </c>
      <c r="B837" s="12">
        <v>50</v>
      </c>
      <c r="C837" s="12">
        <v>55</v>
      </c>
      <c r="D837" s="28" t="s">
        <v>37</v>
      </c>
      <c r="E837" s="12">
        <v>3</v>
      </c>
      <c r="F837" s="12" t="s">
        <v>35</v>
      </c>
      <c r="G837" s="12"/>
      <c r="H837" s="12"/>
    </row>
    <row r="838" spans="1:9" x14ac:dyDescent="0.55000000000000004">
      <c r="A838" s="8" t="s">
        <v>50</v>
      </c>
      <c r="B838" s="9">
        <v>47</v>
      </c>
      <c r="C838" s="9">
        <v>54</v>
      </c>
      <c r="D838" s="21" t="s">
        <v>37</v>
      </c>
      <c r="E838" s="9">
        <v>3</v>
      </c>
      <c r="F838" s="9" t="s">
        <v>35</v>
      </c>
      <c r="G838" s="9"/>
      <c r="H838" s="9"/>
    </row>
    <row r="839" spans="1:9" x14ac:dyDescent="0.55000000000000004">
      <c r="A839" s="10" t="s">
        <v>51</v>
      </c>
      <c r="B839" s="9">
        <v>55</v>
      </c>
      <c r="C839" s="9">
        <v>60</v>
      </c>
      <c r="D839" s="21" t="s">
        <v>37</v>
      </c>
      <c r="E839" s="9">
        <v>3</v>
      </c>
      <c r="F839" s="9" t="s">
        <v>36</v>
      </c>
      <c r="G839" s="9"/>
      <c r="H839" s="9"/>
    </row>
    <row r="840" spans="1:9" x14ac:dyDescent="0.55000000000000004">
      <c r="A840" s="34" t="s">
        <v>52</v>
      </c>
      <c r="B840" s="9">
        <v>52</v>
      </c>
      <c r="C840" s="9">
        <v>62</v>
      </c>
      <c r="D840" s="21" t="s">
        <v>37</v>
      </c>
      <c r="E840" s="9">
        <v>3</v>
      </c>
      <c r="F840" s="9" t="s">
        <v>36</v>
      </c>
      <c r="G840" s="9"/>
      <c r="H840" s="9"/>
    </row>
    <row r="841" spans="1:9" ht="14.7" thickBot="1" x14ac:dyDescent="0.6">
      <c r="A841" s="35" t="s">
        <v>53</v>
      </c>
      <c r="B841" s="14">
        <v>52</v>
      </c>
      <c r="C841" s="14">
        <v>65</v>
      </c>
      <c r="D841" s="23" t="s">
        <v>37</v>
      </c>
      <c r="E841" s="14">
        <v>3</v>
      </c>
      <c r="F841" s="14" t="s">
        <v>36</v>
      </c>
      <c r="G841" s="14">
        <v>501.5</v>
      </c>
      <c r="H841" s="14">
        <f>Tabla269162169[[#This Row],[Total cluster weight (g)]]/COUNTA(A837:A841)</f>
        <v>100.3</v>
      </c>
    </row>
    <row r="842" spans="1:9" x14ac:dyDescent="0.55000000000000004">
      <c r="A842" s="11" t="s">
        <v>80</v>
      </c>
      <c r="B842" s="12">
        <v>51</v>
      </c>
      <c r="C842" s="12">
        <v>60</v>
      </c>
      <c r="D842" s="28" t="s">
        <v>37</v>
      </c>
      <c r="E842" s="12">
        <v>4</v>
      </c>
      <c r="F842" s="12" t="s">
        <v>36</v>
      </c>
      <c r="G842" s="12"/>
      <c r="H842" s="12"/>
    </row>
    <row r="843" spans="1:9" x14ac:dyDescent="0.55000000000000004">
      <c r="A843" s="10" t="s">
        <v>81</v>
      </c>
      <c r="B843" s="9">
        <v>53</v>
      </c>
      <c r="C843" s="9">
        <v>60</v>
      </c>
      <c r="D843" s="21" t="s">
        <v>37</v>
      </c>
      <c r="E843" s="9">
        <v>4</v>
      </c>
      <c r="F843" s="9" t="s">
        <v>36</v>
      </c>
      <c r="G843" s="9"/>
      <c r="H843" s="9"/>
    </row>
    <row r="844" spans="1:9" x14ac:dyDescent="0.55000000000000004">
      <c r="A844" s="10" t="s">
        <v>66</v>
      </c>
      <c r="B844" s="9">
        <v>55</v>
      </c>
      <c r="C844" s="9">
        <v>63</v>
      </c>
      <c r="D844" s="21" t="s">
        <v>37</v>
      </c>
      <c r="E844" s="9">
        <v>4</v>
      </c>
      <c r="F844" s="9" t="s">
        <v>36</v>
      </c>
      <c r="G844" s="9"/>
      <c r="H844" s="9"/>
    </row>
    <row r="845" spans="1:9" x14ac:dyDescent="0.55000000000000004">
      <c r="A845" s="10" t="s">
        <v>67</v>
      </c>
      <c r="B845" s="9">
        <v>55</v>
      </c>
      <c r="C845" s="9">
        <v>61</v>
      </c>
      <c r="D845" s="21" t="s">
        <v>37</v>
      </c>
      <c r="E845" s="9">
        <v>4</v>
      </c>
      <c r="F845" s="9" t="s">
        <v>36</v>
      </c>
      <c r="G845" s="9"/>
      <c r="H845" s="9"/>
    </row>
    <row r="846" spans="1:9" ht="14.7" thickBot="1" x14ac:dyDescent="0.6">
      <c r="A846" s="13" t="s">
        <v>71</v>
      </c>
      <c r="B846" s="14">
        <v>55</v>
      </c>
      <c r="C846" s="14">
        <v>61</v>
      </c>
      <c r="D846" s="23" t="s">
        <v>37</v>
      </c>
      <c r="E846" s="14">
        <v>4</v>
      </c>
      <c r="F846" s="14" t="s">
        <v>36</v>
      </c>
      <c r="G846" s="14">
        <v>519.5</v>
      </c>
      <c r="H846" s="14">
        <f>Tabla269162169[[#This Row],[Total cluster weight (g)]]/COUNTA(A842:A846)</f>
        <v>103.9</v>
      </c>
    </row>
    <row r="847" spans="1:9" x14ac:dyDescent="0.55000000000000004">
      <c r="A847" s="6" t="s">
        <v>96</v>
      </c>
      <c r="B847" s="9">
        <v>47</v>
      </c>
      <c r="C847" s="9">
        <v>56</v>
      </c>
      <c r="D847" s="21" t="s">
        <v>37</v>
      </c>
      <c r="E847" s="9">
        <v>5</v>
      </c>
      <c r="F847" s="9" t="s">
        <v>35</v>
      </c>
      <c r="G847" s="9"/>
      <c r="H847" s="12"/>
      <c r="I847" t="s">
        <v>56</v>
      </c>
    </row>
    <row r="848" spans="1:9" x14ac:dyDescent="0.55000000000000004">
      <c r="A848" s="10" t="s">
        <v>97</v>
      </c>
      <c r="B848" s="9">
        <v>50</v>
      </c>
      <c r="C848" s="9">
        <v>58</v>
      </c>
      <c r="D848" s="21" t="s">
        <v>37</v>
      </c>
      <c r="E848" s="9">
        <v>5</v>
      </c>
      <c r="F848" s="9" t="s">
        <v>36</v>
      </c>
      <c r="G848" s="9"/>
      <c r="H848" s="9"/>
    </row>
    <row r="849" spans="1:8" x14ac:dyDescent="0.55000000000000004">
      <c r="A849" s="10" t="s">
        <v>98</v>
      </c>
      <c r="B849" s="9">
        <v>54</v>
      </c>
      <c r="C849" s="9">
        <v>61</v>
      </c>
      <c r="D849" s="21" t="s">
        <v>37</v>
      </c>
      <c r="E849" s="9">
        <v>5</v>
      </c>
      <c r="F849" s="9" t="s">
        <v>36</v>
      </c>
      <c r="G849" s="9"/>
      <c r="H849" s="9"/>
    </row>
    <row r="850" spans="1:8" x14ac:dyDescent="0.55000000000000004">
      <c r="A850" s="10" t="s">
        <v>94</v>
      </c>
      <c r="B850" s="9">
        <v>54</v>
      </c>
      <c r="C850" s="9">
        <v>64</v>
      </c>
      <c r="D850" s="21" t="s">
        <v>37</v>
      </c>
      <c r="E850" s="9">
        <v>5</v>
      </c>
      <c r="F850" s="9" t="s">
        <v>36</v>
      </c>
      <c r="G850" s="9"/>
      <c r="H850" s="9"/>
    </row>
    <row r="851" spans="1:8" ht="14.7" thickBot="1" x14ac:dyDescent="0.6">
      <c r="A851" s="13" t="s">
        <v>95</v>
      </c>
      <c r="B851" s="14">
        <v>52</v>
      </c>
      <c r="C851" s="14">
        <v>61</v>
      </c>
      <c r="D851" s="23" t="s">
        <v>37</v>
      </c>
      <c r="E851" s="14">
        <v>5</v>
      </c>
      <c r="F851" s="14" t="s">
        <v>36</v>
      </c>
      <c r="G851" s="14">
        <v>497</v>
      </c>
      <c r="H851" s="14">
        <f>Tabla269162169[[#This Row],[Total cluster weight (g)]]/COUNTA(A847:A851)</f>
        <v>99.4</v>
      </c>
    </row>
    <row r="852" spans="1:8" x14ac:dyDescent="0.55000000000000004">
      <c r="A852" s="6" t="s">
        <v>144</v>
      </c>
      <c r="B852" s="7">
        <v>51</v>
      </c>
      <c r="C852" s="7">
        <v>59</v>
      </c>
      <c r="D852" s="21" t="s">
        <v>37</v>
      </c>
      <c r="E852" s="9">
        <v>6</v>
      </c>
      <c r="F852" s="9" t="s">
        <v>36</v>
      </c>
      <c r="G852" s="9"/>
      <c r="H852" s="88"/>
    </row>
    <row r="853" spans="1:8" x14ac:dyDescent="0.55000000000000004">
      <c r="A853" s="10" t="s">
        <v>150</v>
      </c>
      <c r="B853" s="9">
        <v>52</v>
      </c>
      <c r="C853" s="9">
        <v>57</v>
      </c>
      <c r="D853" s="21" t="s">
        <v>37</v>
      </c>
      <c r="E853" s="9">
        <v>6</v>
      </c>
      <c r="F853" s="9" t="s">
        <v>36</v>
      </c>
      <c r="G853" s="9"/>
      <c r="H853" s="88"/>
    </row>
    <row r="854" spans="1:8" x14ac:dyDescent="0.55000000000000004">
      <c r="A854" s="10" t="s">
        <v>151</v>
      </c>
      <c r="B854" s="9">
        <v>54</v>
      </c>
      <c r="C854" s="9">
        <v>61</v>
      </c>
      <c r="D854" s="21" t="s">
        <v>37</v>
      </c>
      <c r="E854" s="9">
        <v>6</v>
      </c>
      <c r="F854" s="9" t="s">
        <v>36</v>
      </c>
      <c r="G854" s="9"/>
      <c r="H854" s="88"/>
    </row>
    <row r="855" spans="1:8" x14ac:dyDescent="0.55000000000000004">
      <c r="A855" s="10" t="s">
        <v>152</v>
      </c>
      <c r="B855" s="9">
        <v>53</v>
      </c>
      <c r="C855" s="9">
        <v>59</v>
      </c>
      <c r="D855" s="21" t="s">
        <v>37</v>
      </c>
      <c r="E855" s="9">
        <v>6</v>
      </c>
      <c r="F855" s="9" t="s">
        <v>36</v>
      </c>
      <c r="G855" s="9"/>
      <c r="H855" s="88"/>
    </row>
    <row r="856" spans="1:8" ht="14.7" thickBot="1" x14ac:dyDescent="0.6">
      <c r="A856" s="13" t="s">
        <v>153</v>
      </c>
      <c r="B856" s="14">
        <v>54</v>
      </c>
      <c r="C856" s="14">
        <v>64</v>
      </c>
      <c r="D856" s="23" t="s">
        <v>37</v>
      </c>
      <c r="E856" s="14">
        <v>6</v>
      </c>
      <c r="F856" s="14" t="s">
        <v>36</v>
      </c>
      <c r="G856" s="14">
        <v>493</v>
      </c>
      <c r="H856" s="14">
        <f>Tabla269162169[[#This Row],[Total cluster weight (g)]]/COUNTA(A852:A856)</f>
        <v>98.6</v>
      </c>
    </row>
    <row r="857" spans="1:8" x14ac:dyDescent="0.55000000000000004">
      <c r="A857" s="61" t="s">
        <v>158</v>
      </c>
      <c r="B857" s="9">
        <v>56</v>
      </c>
      <c r="C857" s="9">
        <v>64</v>
      </c>
      <c r="D857" s="21" t="s">
        <v>37</v>
      </c>
      <c r="E857" s="9">
        <v>7</v>
      </c>
      <c r="F857" s="9" t="s">
        <v>36</v>
      </c>
      <c r="G857" s="9"/>
      <c r="H857" s="88"/>
    </row>
    <row r="858" spans="1:8" x14ac:dyDescent="0.55000000000000004">
      <c r="A858" s="61" t="s">
        <v>215</v>
      </c>
      <c r="B858" s="9">
        <v>56</v>
      </c>
      <c r="C858" s="9">
        <v>62</v>
      </c>
      <c r="D858" s="21" t="s">
        <v>37</v>
      </c>
      <c r="E858" s="9">
        <v>7</v>
      </c>
      <c r="F858" s="9" t="s">
        <v>36</v>
      </c>
      <c r="G858" s="9"/>
      <c r="H858" s="88"/>
    </row>
    <row r="859" spans="1:8" x14ac:dyDescent="0.55000000000000004">
      <c r="A859" s="61" t="s">
        <v>216</v>
      </c>
      <c r="B859" s="9">
        <v>54</v>
      </c>
      <c r="C859" s="9">
        <v>61</v>
      </c>
      <c r="D859" s="21" t="s">
        <v>37</v>
      </c>
      <c r="E859" s="9">
        <v>7</v>
      </c>
      <c r="F859" s="9" t="s">
        <v>36</v>
      </c>
      <c r="G859" s="9"/>
      <c r="H859" s="88"/>
    </row>
    <row r="860" spans="1:8" ht="14.7" thickBot="1" x14ac:dyDescent="0.6">
      <c r="A860" s="94" t="s">
        <v>217</v>
      </c>
      <c r="B860" s="14">
        <v>57</v>
      </c>
      <c r="C860" s="14">
        <v>72</v>
      </c>
      <c r="D860" s="23" t="s">
        <v>37</v>
      </c>
      <c r="E860" s="14">
        <v>7</v>
      </c>
      <c r="F860" s="14" t="s">
        <v>36</v>
      </c>
      <c r="G860" s="14">
        <v>508.5</v>
      </c>
      <c r="H860" s="102">
        <f>Tabla269162169[[#This Row],[Total cluster weight (g)]]/COUNTA(A857:A860)</f>
        <v>127.125</v>
      </c>
    </row>
    <row r="861" spans="1:8" x14ac:dyDescent="0.55000000000000004">
      <c r="A861" s="61" t="s">
        <v>218</v>
      </c>
      <c r="B861" s="9">
        <v>55</v>
      </c>
      <c r="C861" s="9">
        <v>64</v>
      </c>
      <c r="D861" s="21" t="s">
        <v>37</v>
      </c>
      <c r="E861" s="9">
        <v>8</v>
      </c>
      <c r="F861" s="9" t="s">
        <v>35</v>
      </c>
      <c r="G861" s="9"/>
      <c r="H861" s="88"/>
    </row>
    <row r="862" spans="1:8" x14ac:dyDescent="0.55000000000000004">
      <c r="A862" s="61" t="s">
        <v>219</v>
      </c>
      <c r="B862" s="9">
        <v>58</v>
      </c>
      <c r="C862" s="9">
        <v>68</v>
      </c>
      <c r="D862" s="21" t="s">
        <v>37</v>
      </c>
      <c r="E862" s="9">
        <v>8</v>
      </c>
      <c r="F862" s="9" t="s">
        <v>36</v>
      </c>
      <c r="G862" s="9"/>
      <c r="H862" s="88"/>
    </row>
    <row r="863" spans="1:8" x14ac:dyDescent="0.55000000000000004">
      <c r="A863" s="61" t="s">
        <v>222</v>
      </c>
      <c r="B863" s="9">
        <v>54</v>
      </c>
      <c r="C863" s="9">
        <v>63</v>
      </c>
      <c r="D863" s="21" t="s">
        <v>37</v>
      </c>
      <c r="E863" s="9">
        <v>8</v>
      </c>
      <c r="F863" s="9" t="s">
        <v>36</v>
      </c>
      <c r="G863" s="9"/>
      <c r="H863" s="88"/>
    </row>
    <row r="864" spans="1:8" x14ac:dyDescent="0.55000000000000004">
      <c r="A864" s="61" t="s">
        <v>223</v>
      </c>
      <c r="B864" s="9">
        <v>57</v>
      </c>
      <c r="C864" s="9">
        <v>68</v>
      </c>
      <c r="D864" s="21" t="s">
        <v>37</v>
      </c>
      <c r="E864" s="9">
        <v>8</v>
      </c>
      <c r="F864" s="9" t="s">
        <v>36</v>
      </c>
      <c r="G864" s="9"/>
      <c r="H864" s="88"/>
    </row>
    <row r="865" spans="1:8" ht="14.7" thickBot="1" x14ac:dyDescent="0.6">
      <c r="A865" s="94" t="s">
        <v>232</v>
      </c>
      <c r="B865" s="14">
        <v>60</v>
      </c>
      <c r="C865" s="14">
        <v>67</v>
      </c>
      <c r="D865" s="23" t="s">
        <v>37</v>
      </c>
      <c r="E865" s="14">
        <v>8</v>
      </c>
      <c r="F865" s="14" t="s">
        <v>36</v>
      </c>
      <c r="G865" s="14">
        <v>657.5</v>
      </c>
      <c r="H865" s="102">
        <f>Tabla269162169[[#This Row],[Total cluster weight (g)]]/COUNTA(A861:A865)</f>
        <v>131.5</v>
      </c>
    </row>
    <row r="866" spans="1:8" x14ac:dyDescent="0.55000000000000004">
      <c r="A866" s="61" t="s">
        <v>233</v>
      </c>
      <c r="B866" s="9">
        <v>53</v>
      </c>
      <c r="C866" s="9">
        <v>59</v>
      </c>
      <c r="D866" s="21" t="s">
        <v>37</v>
      </c>
      <c r="E866" s="9">
        <v>9</v>
      </c>
      <c r="F866" s="9" t="s">
        <v>35</v>
      </c>
      <c r="G866" s="9"/>
      <c r="H866" s="88"/>
    </row>
    <row r="867" spans="1:8" x14ac:dyDescent="0.55000000000000004">
      <c r="A867" s="61" t="s">
        <v>234</v>
      </c>
      <c r="B867" s="9">
        <v>52</v>
      </c>
      <c r="C867" s="9">
        <v>59</v>
      </c>
      <c r="D867" s="21" t="s">
        <v>37</v>
      </c>
      <c r="E867" s="9">
        <v>9</v>
      </c>
      <c r="F867" s="9" t="s">
        <v>36</v>
      </c>
      <c r="G867" s="9"/>
      <c r="H867" s="88"/>
    </row>
    <row r="868" spans="1:8" x14ac:dyDescent="0.55000000000000004">
      <c r="A868" s="61" t="s">
        <v>235</v>
      </c>
      <c r="B868" s="9">
        <v>53</v>
      </c>
      <c r="C868" s="9">
        <v>62</v>
      </c>
      <c r="D868" s="21" t="s">
        <v>37</v>
      </c>
      <c r="E868" s="9">
        <v>9</v>
      </c>
      <c r="F868" s="9" t="s">
        <v>36</v>
      </c>
      <c r="G868" s="9"/>
      <c r="H868" s="88"/>
    </row>
    <row r="869" spans="1:8" x14ac:dyDescent="0.55000000000000004">
      <c r="A869" s="61" t="s">
        <v>236</v>
      </c>
      <c r="B869" s="9">
        <v>56</v>
      </c>
      <c r="C869" s="9">
        <v>63</v>
      </c>
      <c r="D869" s="21" t="s">
        <v>37</v>
      </c>
      <c r="E869" s="9">
        <v>9</v>
      </c>
      <c r="F869" s="9" t="s">
        <v>36</v>
      </c>
      <c r="G869" s="9"/>
      <c r="H869" s="88"/>
    </row>
    <row r="870" spans="1:8" ht="14.7" thickBot="1" x14ac:dyDescent="0.6">
      <c r="A870" s="94" t="s">
        <v>248</v>
      </c>
      <c r="B870" s="14">
        <v>55</v>
      </c>
      <c r="C870" s="14">
        <v>66</v>
      </c>
      <c r="D870" s="23" t="s">
        <v>37</v>
      </c>
      <c r="E870" s="14">
        <v>9</v>
      </c>
      <c r="F870" s="14" t="s">
        <v>36</v>
      </c>
      <c r="G870" s="14">
        <v>548.5</v>
      </c>
      <c r="H870" s="102">
        <f>Tabla269162169[[#This Row],[Total cluster weight (g)]]/COUNTA(A866:A870)</f>
        <v>109.7</v>
      </c>
    </row>
    <row r="871" spans="1:8" x14ac:dyDescent="0.55000000000000004">
      <c r="A871" s="6" t="s">
        <v>249</v>
      </c>
      <c r="B871" s="9">
        <v>55</v>
      </c>
      <c r="C871" s="9">
        <v>59</v>
      </c>
      <c r="D871" s="21" t="s">
        <v>37</v>
      </c>
      <c r="E871" s="9">
        <v>10</v>
      </c>
      <c r="F871" s="9" t="s">
        <v>35</v>
      </c>
      <c r="G871" s="9"/>
      <c r="H871" s="88"/>
    </row>
    <row r="872" spans="1:8" x14ac:dyDescent="0.55000000000000004">
      <c r="A872" s="10" t="s">
        <v>250</v>
      </c>
      <c r="B872" s="9">
        <v>52</v>
      </c>
      <c r="C872" s="9">
        <v>56</v>
      </c>
      <c r="D872" s="21" t="s">
        <v>37</v>
      </c>
      <c r="E872" s="9">
        <v>10</v>
      </c>
      <c r="F872" s="9" t="s">
        <v>36</v>
      </c>
      <c r="G872" s="9"/>
      <c r="H872" s="88"/>
    </row>
    <row r="873" spans="1:8" x14ac:dyDescent="0.55000000000000004">
      <c r="A873" s="10" t="s">
        <v>255</v>
      </c>
      <c r="B873" s="9">
        <v>50</v>
      </c>
      <c r="C873" s="9">
        <v>58</v>
      </c>
      <c r="D873" s="21" t="s">
        <v>37</v>
      </c>
      <c r="E873" s="9">
        <v>10</v>
      </c>
      <c r="F873" s="9" t="s">
        <v>36</v>
      </c>
      <c r="G873" s="9"/>
      <c r="H873" s="88"/>
    </row>
    <row r="874" spans="1:8" ht="14.7" thickBot="1" x14ac:dyDescent="0.6">
      <c r="A874" s="35" t="s">
        <v>256</v>
      </c>
      <c r="B874" s="14">
        <v>53</v>
      </c>
      <c r="C874" s="14">
        <v>63</v>
      </c>
      <c r="D874" s="23" t="s">
        <v>37</v>
      </c>
      <c r="E874" s="14">
        <v>10</v>
      </c>
      <c r="F874" s="14" t="s">
        <v>36</v>
      </c>
      <c r="G874" s="14">
        <v>405.5</v>
      </c>
      <c r="H874" s="102">
        <f>Tabla269162169[[#This Row],[Total cluster weight (g)]]/COUNTA(A871:A874)</f>
        <v>101.375</v>
      </c>
    </row>
    <row r="875" spans="1:8" x14ac:dyDescent="0.55000000000000004">
      <c r="A875" s="29"/>
      <c r="B875" s="30"/>
      <c r="C875" s="30"/>
      <c r="D875" s="31"/>
      <c r="E875" s="30"/>
      <c r="F875" s="30"/>
      <c r="G875" s="30"/>
    </row>
    <row r="876" spans="1:8" x14ac:dyDescent="0.55000000000000004">
      <c r="A876" s="59" t="s">
        <v>172</v>
      </c>
      <c r="B876" s="55" t="s">
        <v>162</v>
      </c>
      <c r="C876" s="55" t="s">
        <v>163</v>
      </c>
      <c r="D876" s="55" t="s">
        <v>164</v>
      </c>
      <c r="E876" s="55" t="s">
        <v>165</v>
      </c>
      <c r="F876" s="56" t="s">
        <v>189</v>
      </c>
      <c r="G876" s="110" t="s">
        <v>230</v>
      </c>
    </row>
    <row r="877" spans="1:8" x14ac:dyDescent="0.55000000000000004">
      <c r="A877" s="60" t="s">
        <v>166</v>
      </c>
      <c r="B877" s="57">
        <f>AVERAGE(Tabla269162169[Height (mm)])</f>
        <v>52.416666666666664</v>
      </c>
      <c r="C877" s="57">
        <f>AVERAGE(Tabla269162169[Width (mm)])</f>
        <v>60.895833333333336</v>
      </c>
      <c r="D877" s="57">
        <f>MAX(Tabla269162169[[Cluster number ]])</f>
        <v>10</v>
      </c>
      <c r="E877" s="57">
        <f>AVERAGE(Tabla269162169[Tomato average weight per cluster])</f>
        <v>107.17</v>
      </c>
      <c r="F877" s="58">
        <f>COUNTA(Tabla269162169["C18" PLANT])</f>
        <v>48</v>
      </c>
      <c r="G877" s="109">
        <f>SUM(Tabla269162169[Total cluster weight (g)])</f>
        <v>5130</v>
      </c>
    </row>
    <row r="879" spans="1:8" ht="14.7" thickBot="1" x14ac:dyDescent="0.6">
      <c r="A879" s="5" t="s">
        <v>31</v>
      </c>
      <c r="B879" t="s">
        <v>3</v>
      </c>
      <c r="C879" t="s">
        <v>4</v>
      </c>
      <c r="D879" t="s">
        <v>5</v>
      </c>
      <c r="E879" t="s">
        <v>6</v>
      </c>
      <c r="F879" t="s">
        <v>7</v>
      </c>
      <c r="G879" t="s">
        <v>8</v>
      </c>
      <c r="H879" t="s">
        <v>161</v>
      </c>
    </row>
    <row r="880" spans="1:8" x14ac:dyDescent="0.55000000000000004">
      <c r="A880" s="6" t="s">
        <v>9</v>
      </c>
      <c r="B880" s="9">
        <v>49</v>
      </c>
      <c r="C880" s="9">
        <v>66</v>
      </c>
      <c r="D880" s="21" t="s">
        <v>37</v>
      </c>
      <c r="E880" s="9">
        <v>1</v>
      </c>
      <c r="F880" s="9" t="s">
        <v>35</v>
      </c>
      <c r="G880" s="9"/>
      <c r="H880" s="12"/>
    </row>
    <row r="881" spans="1:8" x14ac:dyDescent="0.55000000000000004">
      <c r="A881" s="10" t="s">
        <v>10</v>
      </c>
      <c r="B881" s="9">
        <v>51</v>
      </c>
      <c r="C881" s="9">
        <v>67</v>
      </c>
      <c r="D881" s="21" t="s">
        <v>37</v>
      </c>
      <c r="E881" s="9">
        <v>1</v>
      </c>
      <c r="F881" s="9" t="s">
        <v>35</v>
      </c>
      <c r="G881" s="9"/>
      <c r="H881" s="9"/>
    </row>
    <row r="882" spans="1:8" x14ac:dyDescent="0.55000000000000004">
      <c r="A882" s="10" t="s">
        <v>11</v>
      </c>
      <c r="B882" s="9">
        <v>56</v>
      </c>
      <c r="C882" s="9">
        <v>70</v>
      </c>
      <c r="D882" s="21" t="s">
        <v>37</v>
      </c>
      <c r="E882" s="9">
        <v>1</v>
      </c>
      <c r="F882" s="9" t="s">
        <v>36</v>
      </c>
      <c r="G882" s="9"/>
      <c r="H882" s="9"/>
    </row>
    <row r="883" spans="1:8" x14ac:dyDescent="0.55000000000000004">
      <c r="A883" s="11" t="s">
        <v>12</v>
      </c>
      <c r="B883" s="9">
        <v>54</v>
      </c>
      <c r="C883" s="9">
        <v>68</v>
      </c>
      <c r="D883" s="21" t="s">
        <v>37</v>
      </c>
      <c r="E883" s="9">
        <v>1</v>
      </c>
      <c r="F883" s="9" t="s">
        <v>36</v>
      </c>
      <c r="G883" s="9"/>
      <c r="H883" s="9"/>
    </row>
    <row r="884" spans="1:8" ht="14.7" thickBot="1" x14ac:dyDescent="0.6">
      <c r="A884" s="13" t="s">
        <v>13</v>
      </c>
      <c r="B884" s="14">
        <v>50</v>
      </c>
      <c r="C884" s="14">
        <v>67</v>
      </c>
      <c r="D884" s="23" t="s">
        <v>37</v>
      </c>
      <c r="E884" s="14">
        <v>1</v>
      </c>
      <c r="F884" s="14" t="s">
        <v>36</v>
      </c>
      <c r="G884" s="14">
        <v>662</v>
      </c>
      <c r="H884" s="14">
        <f>Tabla269162270[[#This Row],[Total cluster weight (g)]]/COUNTA(A880:A884)</f>
        <v>132.4</v>
      </c>
    </row>
    <row r="885" spans="1:8" x14ac:dyDescent="0.55000000000000004">
      <c r="A885" s="6" t="s">
        <v>41</v>
      </c>
      <c r="B885" s="9">
        <v>50</v>
      </c>
      <c r="C885" s="9">
        <v>61</v>
      </c>
      <c r="D885" s="21" t="s">
        <v>37</v>
      </c>
      <c r="E885" s="9">
        <v>2</v>
      </c>
      <c r="F885" s="9" t="s">
        <v>35</v>
      </c>
      <c r="G885" s="9"/>
      <c r="H885" s="12"/>
    </row>
    <row r="886" spans="1:8" x14ac:dyDescent="0.55000000000000004">
      <c r="A886" s="8" t="s">
        <v>42</v>
      </c>
      <c r="B886" s="9">
        <v>50</v>
      </c>
      <c r="C886" s="9">
        <v>63</v>
      </c>
      <c r="D886" s="21" t="s">
        <v>37</v>
      </c>
      <c r="E886" s="9">
        <v>2</v>
      </c>
      <c r="F886" s="9" t="s">
        <v>35</v>
      </c>
      <c r="G886" s="9"/>
      <c r="H886" s="9"/>
    </row>
    <row r="887" spans="1:8" x14ac:dyDescent="0.55000000000000004">
      <c r="A887" s="10" t="s">
        <v>43</v>
      </c>
      <c r="B887" s="9">
        <v>51</v>
      </c>
      <c r="C887" s="9">
        <v>62</v>
      </c>
      <c r="D887" s="21" t="s">
        <v>37</v>
      </c>
      <c r="E887" s="9">
        <v>2</v>
      </c>
      <c r="F887" s="9" t="s">
        <v>36</v>
      </c>
      <c r="G887" s="9"/>
      <c r="H887" s="9"/>
    </row>
    <row r="888" spans="1:8" x14ac:dyDescent="0.55000000000000004">
      <c r="A888" s="34" t="s">
        <v>47</v>
      </c>
      <c r="B888" s="9">
        <v>54</v>
      </c>
      <c r="C888" s="9">
        <v>63</v>
      </c>
      <c r="D888" s="21" t="s">
        <v>37</v>
      </c>
      <c r="E888" s="9">
        <v>2</v>
      </c>
      <c r="F888" s="9" t="s">
        <v>36</v>
      </c>
      <c r="G888" s="9"/>
      <c r="H888" s="9"/>
    </row>
    <row r="889" spans="1:8" ht="14.7" thickBot="1" x14ac:dyDescent="0.6">
      <c r="A889" s="35" t="s">
        <v>48</v>
      </c>
      <c r="B889" s="14">
        <v>54</v>
      </c>
      <c r="C889" s="14">
        <v>68</v>
      </c>
      <c r="D889" s="23" t="s">
        <v>37</v>
      </c>
      <c r="E889" s="14">
        <v>2</v>
      </c>
      <c r="F889" s="14" t="s">
        <v>36</v>
      </c>
      <c r="G889" s="14">
        <v>552.5</v>
      </c>
      <c r="H889" s="14">
        <f>Tabla269162270[[#This Row],[Total cluster weight (g)]]/COUNTA(A885:A889)</f>
        <v>110.5</v>
      </c>
    </row>
    <row r="890" spans="1:8" x14ac:dyDescent="0.55000000000000004">
      <c r="A890" s="6" t="s">
        <v>49</v>
      </c>
      <c r="B890" s="9">
        <v>37</v>
      </c>
      <c r="C890" s="9">
        <v>48</v>
      </c>
      <c r="D890" s="21" t="s">
        <v>37</v>
      </c>
      <c r="E890" s="9">
        <v>3</v>
      </c>
      <c r="F890" s="9" t="s">
        <v>68</v>
      </c>
      <c r="G890" s="9"/>
      <c r="H890" s="12"/>
    </row>
    <row r="891" spans="1:8" x14ac:dyDescent="0.55000000000000004">
      <c r="A891" s="10" t="s">
        <v>50</v>
      </c>
      <c r="B891" s="9">
        <v>42</v>
      </c>
      <c r="C891" s="9">
        <v>48</v>
      </c>
      <c r="D891" s="21" t="s">
        <v>37</v>
      </c>
      <c r="E891" s="9">
        <v>3</v>
      </c>
      <c r="F891" s="9" t="s">
        <v>36</v>
      </c>
      <c r="G891" s="9"/>
      <c r="H891" s="9"/>
    </row>
    <row r="892" spans="1:8" x14ac:dyDescent="0.55000000000000004">
      <c r="A892" s="10" t="s">
        <v>51</v>
      </c>
      <c r="B892" s="9">
        <v>40</v>
      </c>
      <c r="C892" s="9">
        <v>44</v>
      </c>
      <c r="D892" s="21" t="s">
        <v>37</v>
      </c>
      <c r="E892" s="9">
        <v>3</v>
      </c>
      <c r="F892" s="9" t="s">
        <v>36</v>
      </c>
      <c r="G892" s="9"/>
      <c r="H892" s="9"/>
    </row>
    <row r="893" spans="1:8" x14ac:dyDescent="0.55000000000000004">
      <c r="A893" s="11" t="s">
        <v>52</v>
      </c>
      <c r="B893" s="9">
        <v>42</v>
      </c>
      <c r="C893" s="9">
        <v>53</v>
      </c>
      <c r="D893" s="21" t="s">
        <v>37</v>
      </c>
      <c r="E893" s="9">
        <v>3</v>
      </c>
      <c r="F893" s="9" t="s">
        <v>35</v>
      </c>
      <c r="G893" s="9"/>
      <c r="H893" s="9"/>
    </row>
    <row r="894" spans="1:8" ht="14.7" thickBot="1" x14ac:dyDescent="0.6">
      <c r="A894" s="13" t="s">
        <v>53</v>
      </c>
      <c r="B894" s="14">
        <v>48</v>
      </c>
      <c r="C894" s="14">
        <v>62</v>
      </c>
      <c r="D894" s="23" t="s">
        <v>37</v>
      </c>
      <c r="E894" s="14">
        <v>3</v>
      </c>
      <c r="F894" s="14" t="s">
        <v>35</v>
      </c>
      <c r="G894" s="14">
        <v>296</v>
      </c>
      <c r="H894" s="14">
        <f>Tabla269162270[[#This Row],[Total cluster weight (g)]]/COUNTA(A890:A894)</f>
        <v>59.2</v>
      </c>
    </row>
    <row r="895" spans="1:8" x14ac:dyDescent="0.55000000000000004">
      <c r="A895" s="6" t="s">
        <v>85</v>
      </c>
      <c r="B895" s="9">
        <v>30</v>
      </c>
      <c r="C895" s="9">
        <v>34</v>
      </c>
      <c r="D895" s="21" t="s">
        <v>37</v>
      </c>
      <c r="E895" s="9">
        <v>4</v>
      </c>
      <c r="F895" s="9" t="s">
        <v>61</v>
      </c>
      <c r="G895" s="9"/>
      <c r="H895" s="12"/>
    </row>
    <row r="896" spans="1:8" x14ac:dyDescent="0.55000000000000004">
      <c r="A896" s="10" t="s">
        <v>65</v>
      </c>
      <c r="B896" s="9">
        <v>31</v>
      </c>
      <c r="C896" s="9">
        <v>36</v>
      </c>
      <c r="D896" s="21" t="s">
        <v>37</v>
      </c>
      <c r="E896" s="9">
        <v>4</v>
      </c>
      <c r="F896" s="9" t="s">
        <v>61</v>
      </c>
      <c r="G896" s="9"/>
      <c r="H896" s="9"/>
    </row>
    <row r="897" spans="1:8" x14ac:dyDescent="0.55000000000000004">
      <c r="A897" s="10" t="s">
        <v>99</v>
      </c>
      <c r="B897" s="9">
        <v>36</v>
      </c>
      <c r="C897" s="9">
        <v>46</v>
      </c>
      <c r="D897" s="21" t="s">
        <v>37</v>
      </c>
      <c r="E897" s="9">
        <v>4</v>
      </c>
      <c r="F897" s="9" t="s">
        <v>35</v>
      </c>
      <c r="G897" s="9"/>
      <c r="H897" s="9"/>
    </row>
    <row r="898" spans="1:8" x14ac:dyDescent="0.55000000000000004">
      <c r="A898" s="11" t="s">
        <v>67</v>
      </c>
      <c r="B898" s="9">
        <v>39</v>
      </c>
      <c r="C898" s="9">
        <v>48</v>
      </c>
      <c r="D898" s="21" t="s">
        <v>37</v>
      </c>
      <c r="E898" s="9">
        <v>4</v>
      </c>
      <c r="F898" s="9" t="s">
        <v>35</v>
      </c>
      <c r="G898" s="9"/>
      <c r="H898" s="9"/>
    </row>
    <row r="899" spans="1:8" ht="14.7" thickBot="1" x14ac:dyDescent="0.6">
      <c r="A899" s="13" t="s">
        <v>71</v>
      </c>
      <c r="B899" s="14">
        <v>40</v>
      </c>
      <c r="C899" s="14">
        <v>52</v>
      </c>
      <c r="D899" s="23" t="s">
        <v>37</v>
      </c>
      <c r="E899" s="14">
        <v>4</v>
      </c>
      <c r="F899" s="14" t="s">
        <v>36</v>
      </c>
      <c r="G899" s="14">
        <v>197</v>
      </c>
      <c r="H899" s="14">
        <f>Tabla269162270[[#This Row],[Total cluster weight (g)]]/COUNTA(A895:A899)</f>
        <v>39.4</v>
      </c>
    </row>
    <row r="900" spans="1:8" x14ac:dyDescent="0.55000000000000004">
      <c r="A900" s="29" t="s">
        <v>89</v>
      </c>
      <c r="B900" s="9">
        <v>56</v>
      </c>
      <c r="C900" s="9">
        <v>68</v>
      </c>
      <c r="D900" s="21" t="s">
        <v>37</v>
      </c>
      <c r="E900" s="9">
        <v>5</v>
      </c>
      <c r="F900" s="9" t="s">
        <v>35</v>
      </c>
      <c r="G900" s="9"/>
      <c r="H900" s="88"/>
    </row>
    <row r="901" spans="1:8" x14ac:dyDescent="0.55000000000000004">
      <c r="A901" s="29" t="s">
        <v>92</v>
      </c>
      <c r="B901" s="9">
        <v>57</v>
      </c>
      <c r="C901" s="9">
        <v>66</v>
      </c>
      <c r="D901" s="21" t="s">
        <v>37</v>
      </c>
      <c r="E901" s="9">
        <v>5</v>
      </c>
      <c r="F901" s="9" t="s">
        <v>36</v>
      </c>
      <c r="G901" s="9"/>
      <c r="H901" s="88"/>
    </row>
    <row r="902" spans="1:8" x14ac:dyDescent="0.55000000000000004">
      <c r="A902" s="29" t="s">
        <v>93</v>
      </c>
      <c r="B902" s="9">
        <v>58</v>
      </c>
      <c r="C902" s="9">
        <v>72</v>
      </c>
      <c r="D902" s="21" t="s">
        <v>37</v>
      </c>
      <c r="E902" s="9">
        <v>5</v>
      </c>
      <c r="F902" s="9" t="s">
        <v>36</v>
      </c>
      <c r="G902" s="9"/>
      <c r="H902" s="88"/>
    </row>
    <row r="903" spans="1:8" x14ac:dyDescent="0.55000000000000004">
      <c r="A903" s="29" t="s">
        <v>94</v>
      </c>
      <c r="B903" s="9">
        <v>58</v>
      </c>
      <c r="C903" s="9">
        <v>74</v>
      </c>
      <c r="D903" s="21" t="s">
        <v>37</v>
      </c>
      <c r="E903" s="9">
        <v>5</v>
      </c>
      <c r="F903" s="9" t="s">
        <v>36</v>
      </c>
      <c r="G903" s="9"/>
      <c r="H903" s="88"/>
    </row>
    <row r="904" spans="1:8" ht="14.7" thickBot="1" x14ac:dyDescent="0.6">
      <c r="A904" s="91" t="s">
        <v>95</v>
      </c>
      <c r="B904" s="14">
        <v>58</v>
      </c>
      <c r="C904" s="14">
        <v>72</v>
      </c>
      <c r="D904" s="23" t="s">
        <v>37</v>
      </c>
      <c r="E904" s="14">
        <v>5</v>
      </c>
      <c r="F904" s="14" t="s">
        <v>36</v>
      </c>
      <c r="G904" s="14">
        <v>727</v>
      </c>
      <c r="H904" s="14">
        <f>Tabla269162270[[#This Row],[Total cluster weight (g)]]/COUNTA(A900:A904)</f>
        <v>145.4</v>
      </c>
    </row>
    <row r="905" spans="1:8" x14ac:dyDescent="0.55000000000000004">
      <c r="A905" s="29" t="s">
        <v>144</v>
      </c>
      <c r="B905" s="9">
        <v>44</v>
      </c>
      <c r="C905" s="9">
        <v>55</v>
      </c>
      <c r="D905" s="21" t="s">
        <v>37</v>
      </c>
      <c r="E905" s="9">
        <v>6</v>
      </c>
      <c r="F905" s="9" t="s">
        <v>35</v>
      </c>
      <c r="G905" s="9"/>
      <c r="H905" s="88"/>
    </row>
    <row r="906" spans="1:8" x14ac:dyDescent="0.55000000000000004">
      <c r="A906" s="29" t="s">
        <v>150</v>
      </c>
      <c r="B906" s="9">
        <v>46</v>
      </c>
      <c r="C906" s="9">
        <v>50</v>
      </c>
      <c r="D906" s="21" t="s">
        <v>37</v>
      </c>
      <c r="E906" s="9">
        <v>6</v>
      </c>
      <c r="F906" s="9" t="s">
        <v>36</v>
      </c>
      <c r="G906" s="9"/>
      <c r="H906" s="88"/>
    </row>
    <row r="907" spans="1:8" x14ac:dyDescent="0.55000000000000004">
      <c r="A907" s="29" t="s">
        <v>151</v>
      </c>
      <c r="B907" s="9">
        <v>48</v>
      </c>
      <c r="C907" s="9">
        <v>59</v>
      </c>
      <c r="D907" s="21" t="s">
        <v>37</v>
      </c>
      <c r="E907" s="9">
        <v>6</v>
      </c>
      <c r="F907" s="9" t="s">
        <v>36</v>
      </c>
      <c r="G907" s="9"/>
      <c r="H907" s="88"/>
    </row>
    <row r="908" spans="1:8" x14ac:dyDescent="0.55000000000000004">
      <c r="A908" s="29" t="s">
        <v>152</v>
      </c>
      <c r="B908" s="9">
        <v>46</v>
      </c>
      <c r="C908" s="9">
        <v>59</v>
      </c>
      <c r="D908" s="21" t="s">
        <v>37</v>
      </c>
      <c r="E908" s="9">
        <v>6</v>
      </c>
      <c r="F908" s="9" t="s">
        <v>36</v>
      </c>
      <c r="G908" s="9"/>
      <c r="H908" s="88"/>
    </row>
    <row r="909" spans="1:8" ht="14.7" thickBot="1" x14ac:dyDescent="0.6">
      <c r="A909" s="91" t="s">
        <v>153</v>
      </c>
      <c r="B909" s="14">
        <v>50</v>
      </c>
      <c r="C909" s="14">
        <v>69</v>
      </c>
      <c r="D909" s="23" t="s">
        <v>37</v>
      </c>
      <c r="E909" s="14">
        <v>6</v>
      </c>
      <c r="F909" s="14" t="s">
        <v>36</v>
      </c>
      <c r="G909" s="14">
        <v>438.5</v>
      </c>
      <c r="H909" s="102">
        <f>Tabla269162270[[#This Row],[Total cluster weight (g)]]/COUNTA(A905:A909)</f>
        <v>87.7</v>
      </c>
    </row>
    <row r="910" spans="1:8" x14ac:dyDescent="0.55000000000000004">
      <c r="A910" s="29" t="s">
        <v>158</v>
      </c>
      <c r="B910" s="9">
        <v>46</v>
      </c>
      <c r="C910" s="9">
        <v>53</v>
      </c>
      <c r="D910" s="21" t="s">
        <v>37</v>
      </c>
      <c r="E910" s="9">
        <v>7</v>
      </c>
      <c r="F910" s="9" t="s">
        <v>60</v>
      </c>
      <c r="G910" s="9"/>
      <c r="H910" s="88"/>
    </row>
    <row r="911" spans="1:8" x14ac:dyDescent="0.55000000000000004">
      <c r="A911" s="29" t="s">
        <v>215</v>
      </c>
      <c r="B911" s="9">
        <v>50</v>
      </c>
      <c r="C911" s="9">
        <v>61</v>
      </c>
      <c r="D911" s="21" t="s">
        <v>37</v>
      </c>
      <c r="E911" s="9">
        <v>7</v>
      </c>
      <c r="F911" s="9" t="s">
        <v>35</v>
      </c>
      <c r="G911" s="9"/>
      <c r="H911" s="88"/>
    </row>
    <row r="912" spans="1:8" x14ac:dyDescent="0.55000000000000004">
      <c r="A912" s="29" t="s">
        <v>216</v>
      </c>
      <c r="B912" s="9">
        <v>53</v>
      </c>
      <c r="C912" s="9">
        <v>65</v>
      </c>
      <c r="D912" s="21" t="s">
        <v>37</v>
      </c>
      <c r="E912" s="9">
        <v>7</v>
      </c>
      <c r="F912" s="9" t="s">
        <v>36</v>
      </c>
      <c r="G912" s="9"/>
      <c r="H912" s="88"/>
    </row>
    <row r="913" spans="1:8" x14ac:dyDescent="0.55000000000000004">
      <c r="A913" s="29" t="s">
        <v>217</v>
      </c>
      <c r="B913" s="9">
        <v>53</v>
      </c>
      <c r="C913" s="9">
        <v>66</v>
      </c>
      <c r="D913" s="21" t="s">
        <v>37</v>
      </c>
      <c r="E913" s="9">
        <v>7</v>
      </c>
      <c r="F913" s="9" t="s">
        <v>36</v>
      </c>
      <c r="G913" s="9"/>
      <c r="H913" s="88"/>
    </row>
    <row r="914" spans="1:8" x14ac:dyDescent="0.55000000000000004">
      <c r="A914" s="29" t="s">
        <v>218</v>
      </c>
      <c r="B914" s="9">
        <v>54</v>
      </c>
      <c r="C914" s="9">
        <v>69</v>
      </c>
      <c r="D914" s="21" t="s">
        <v>37</v>
      </c>
      <c r="E914" s="9">
        <v>7</v>
      </c>
      <c r="F914" s="9" t="s">
        <v>36</v>
      </c>
      <c r="G914" s="9"/>
      <c r="H914" s="88"/>
    </row>
    <row r="915" spans="1:8" ht="14.7" thickBot="1" x14ac:dyDescent="0.6">
      <c r="A915" s="91" t="s">
        <v>219</v>
      </c>
      <c r="B915" s="14">
        <v>55</v>
      </c>
      <c r="C915" s="14">
        <v>69</v>
      </c>
      <c r="D915" s="23" t="s">
        <v>37</v>
      </c>
      <c r="E915" s="14">
        <v>7</v>
      </c>
      <c r="F915" s="14" t="s">
        <v>36</v>
      </c>
      <c r="G915" s="14">
        <v>710.5</v>
      </c>
      <c r="H915" s="102">
        <f>Tabla269162270[[#This Row],[Total cluster weight (g)]]/COUNTA(A910:A915)</f>
        <v>118.41666666666667</v>
      </c>
    </row>
    <row r="916" spans="1:8" x14ac:dyDescent="0.55000000000000004">
      <c r="A916" s="29" t="s">
        <v>222</v>
      </c>
      <c r="B916" s="12">
        <v>54</v>
      </c>
      <c r="C916" s="12">
        <v>68</v>
      </c>
      <c r="D916" s="28" t="s">
        <v>37</v>
      </c>
      <c r="E916" s="12">
        <v>8</v>
      </c>
      <c r="F916" s="12" t="s">
        <v>35</v>
      </c>
      <c r="G916" s="12"/>
      <c r="H916" s="93"/>
    </row>
    <row r="917" spans="1:8" x14ac:dyDescent="0.55000000000000004">
      <c r="A917" s="29" t="s">
        <v>223</v>
      </c>
      <c r="B917" s="9">
        <v>53</v>
      </c>
      <c r="C917" s="9">
        <v>66</v>
      </c>
      <c r="D917" s="21" t="s">
        <v>37</v>
      </c>
      <c r="E917" s="9">
        <v>8</v>
      </c>
      <c r="F917" s="9" t="s">
        <v>35</v>
      </c>
      <c r="G917" s="9"/>
      <c r="H917" s="88"/>
    </row>
    <row r="918" spans="1:8" x14ac:dyDescent="0.55000000000000004">
      <c r="A918" s="29" t="s">
        <v>232</v>
      </c>
      <c r="B918" s="9">
        <v>56</v>
      </c>
      <c r="C918" s="9">
        <v>66</v>
      </c>
      <c r="D918" s="21" t="s">
        <v>37</v>
      </c>
      <c r="E918" s="9">
        <v>8</v>
      </c>
      <c r="F918" s="9" t="s">
        <v>36</v>
      </c>
      <c r="G918" s="9"/>
      <c r="H918" s="88"/>
    </row>
    <row r="919" spans="1:8" x14ac:dyDescent="0.55000000000000004">
      <c r="A919" s="29" t="s">
        <v>233</v>
      </c>
      <c r="B919" s="9">
        <v>52</v>
      </c>
      <c r="C919" s="9">
        <v>67</v>
      </c>
      <c r="D919" s="21" t="s">
        <v>37</v>
      </c>
      <c r="E919" s="9">
        <v>8</v>
      </c>
      <c r="F919" s="9" t="s">
        <v>36</v>
      </c>
      <c r="G919" s="9"/>
      <c r="H919" s="88"/>
    </row>
    <row r="920" spans="1:8" ht="14.7" thickBot="1" x14ac:dyDescent="0.6">
      <c r="A920" s="91" t="s">
        <v>234</v>
      </c>
      <c r="B920" s="14">
        <v>57</v>
      </c>
      <c r="C920" s="14">
        <v>75</v>
      </c>
      <c r="D920" s="23" t="s">
        <v>37</v>
      </c>
      <c r="E920" s="14">
        <v>8</v>
      </c>
      <c r="F920" s="14" t="s">
        <v>36</v>
      </c>
      <c r="G920" s="14">
        <v>693</v>
      </c>
      <c r="H920" s="102">
        <f>Tabla269162270[[#This Row],[Total cluster weight (g)]]/COUNTA(A916:A920)</f>
        <v>138.6</v>
      </c>
    </row>
    <row r="921" spans="1:8" x14ac:dyDescent="0.55000000000000004">
      <c r="A921" s="29" t="s">
        <v>234</v>
      </c>
      <c r="B921" s="9">
        <v>48</v>
      </c>
      <c r="C921" s="9">
        <v>57</v>
      </c>
      <c r="D921" s="21" t="s">
        <v>37</v>
      </c>
      <c r="E921" s="9">
        <v>9</v>
      </c>
      <c r="F921" s="9" t="s">
        <v>35</v>
      </c>
      <c r="G921" s="9"/>
      <c r="H921" s="88"/>
    </row>
    <row r="922" spans="1:8" x14ac:dyDescent="0.55000000000000004">
      <c r="A922" s="29" t="s">
        <v>235</v>
      </c>
      <c r="B922" s="9">
        <v>51</v>
      </c>
      <c r="C922" s="9">
        <v>61</v>
      </c>
      <c r="D922" s="21" t="s">
        <v>37</v>
      </c>
      <c r="E922" s="9">
        <v>9</v>
      </c>
      <c r="F922" s="9" t="s">
        <v>36</v>
      </c>
      <c r="G922" s="9"/>
      <c r="H922" s="88"/>
    </row>
    <row r="923" spans="1:8" x14ac:dyDescent="0.55000000000000004">
      <c r="A923" s="29" t="s">
        <v>236</v>
      </c>
      <c r="B923" s="9">
        <v>53</v>
      </c>
      <c r="C923" s="9">
        <v>64</v>
      </c>
      <c r="D923" s="21" t="s">
        <v>37</v>
      </c>
      <c r="E923" s="9">
        <v>9</v>
      </c>
      <c r="F923" s="9" t="s">
        <v>36</v>
      </c>
      <c r="G923" s="9"/>
      <c r="H923" s="88"/>
    </row>
    <row r="924" spans="1:8" ht="14.7" thickBot="1" x14ac:dyDescent="0.6">
      <c r="A924" s="91" t="s">
        <v>248</v>
      </c>
      <c r="B924" s="14">
        <v>53</v>
      </c>
      <c r="C924" s="14">
        <v>68</v>
      </c>
      <c r="D924" s="23" t="s">
        <v>37</v>
      </c>
      <c r="E924" s="14">
        <v>9</v>
      </c>
      <c r="F924" s="14" t="s">
        <v>36</v>
      </c>
      <c r="G924" s="14">
        <v>443</v>
      </c>
      <c r="H924" s="102">
        <f>Tabla269162270[[#This Row],[Total cluster weight (g)]]/COUNTA(A921:A924)</f>
        <v>110.75</v>
      </c>
    </row>
    <row r="925" spans="1:8" x14ac:dyDescent="0.55000000000000004">
      <c r="A925" s="29"/>
      <c r="B925" s="30"/>
      <c r="C925" s="30"/>
      <c r="D925" s="31"/>
      <c r="E925" s="30"/>
      <c r="F925" s="30"/>
      <c r="G925" s="30"/>
    </row>
    <row r="926" spans="1:8" x14ac:dyDescent="0.55000000000000004">
      <c r="A926" s="59" t="s">
        <v>171</v>
      </c>
      <c r="B926" s="55" t="s">
        <v>162</v>
      </c>
      <c r="C926" s="55" t="s">
        <v>163</v>
      </c>
      <c r="D926" s="55" t="s">
        <v>164</v>
      </c>
      <c r="E926" s="55" t="s">
        <v>165</v>
      </c>
      <c r="F926" s="56" t="s">
        <v>189</v>
      </c>
      <c r="G926" s="110" t="s">
        <v>230</v>
      </c>
    </row>
    <row r="927" spans="1:8" x14ac:dyDescent="0.55000000000000004">
      <c r="A927" s="60" t="s">
        <v>166</v>
      </c>
      <c r="B927" s="57">
        <f>AVERAGE(Tabla269162270[Height (mm)])</f>
        <v>49.177777777777777</v>
      </c>
      <c r="C927" s="57">
        <f>AVERAGE(Tabla269162270[Width (mm)])</f>
        <v>61</v>
      </c>
      <c r="D927" s="57">
        <f>MAX(Tabla269162270[[Cluster number ]])</f>
        <v>9</v>
      </c>
      <c r="E927" s="57">
        <f>AVERAGE(Tabla269162270[Tomato average weight per cluster])</f>
        <v>104.7074074074074</v>
      </c>
      <c r="F927" s="58">
        <f>COUNTA(Tabla269162270["C19" PLANT])</f>
        <v>45</v>
      </c>
      <c r="G927" s="109">
        <f>SUM(Tabla269162270[Total cluster weight (g)])</f>
        <v>4719.5</v>
      </c>
    </row>
    <row r="929" spans="1:9" ht="14.7" thickBot="1" x14ac:dyDescent="0.6">
      <c r="A929" s="5" t="s">
        <v>32</v>
      </c>
      <c r="B929" t="s">
        <v>3</v>
      </c>
      <c r="C929" t="s">
        <v>4</v>
      </c>
      <c r="D929" t="s">
        <v>5</v>
      </c>
      <c r="E929" t="s">
        <v>6</v>
      </c>
      <c r="F929" t="s">
        <v>7</v>
      </c>
      <c r="G929" t="s">
        <v>8</v>
      </c>
      <c r="H929" s="52" t="s">
        <v>161</v>
      </c>
    </row>
    <row r="930" spans="1:9" x14ac:dyDescent="0.55000000000000004">
      <c r="A930" s="99" t="s">
        <v>224</v>
      </c>
      <c r="B930" s="100">
        <v>49</v>
      </c>
      <c r="C930" s="100">
        <v>66</v>
      </c>
      <c r="D930" s="106">
        <v>123</v>
      </c>
      <c r="E930" s="18">
        <v>1</v>
      </c>
      <c r="F930" s="18" t="s">
        <v>36</v>
      </c>
      <c r="G930" s="18"/>
      <c r="H930" s="53"/>
      <c r="I930" t="s">
        <v>38</v>
      </c>
    </row>
    <row r="931" spans="1:9" ht="14.7" thickBot="1" x14ac:dyDescent="0.6">
      <c r="A931" s="35" t="s">
        <v>225</v>
      </c>
      <c r="B931" s="27">
        <v>50</v>
      </c>
      <c r="C931" s="27">
        <v>71</v>
      </c>
      <c r="D931" s="23">
        <v>144.5</v>
      </c>
      <c r="E931" s="27">
        <v>1</v>
      </c>
      <c r="F931" s="27" t="s">
        <v>36</v>
      </c>
      <c r="G931" s="27">
        <v>267.5</v>
      </c>
      <c r="H931" s="27">
        <f>Tabla269162371[[#This Row],[Total cluster weight (g)]]/COUNTA(A930:A931)</f>
        <v>133.75</v>
      </c>
      <c r="I931" t="s">
        <v>38</v>
      </c>
    </row>
    <row r="932" spans="1:9" x14ac:dyDescent="0.55000000000000004">
      <c r="A932" s="6" t="s">
        <v>11</v>
      </c>
      <c r="B932" s="7">
        <v>41</v>
      </c>
      <c r="C932" s="12">
        <v>54</v>
      </c>
      <c r="D932" s="28" t="s">
        <v>37</v>
      </c>
      <c r="E932" s="12">
        <v>2</v>
      </c>
      <c r="F932" s="12" t="s">
        <v>35</v>
      </c>
      <c r="G932" s="12"/>
      <c r="H932" s="66"/>
      <c r="I932" t="s">
        <v>226</v>
      </c>
    </row>
    <row r="933" spans="1:9" x14ac:dyDescent="0.55000000000000004">
      <c r="A933" s="8" t="s">
        <v>12</v>
      </c>
      <c r="B933" s="9">
        <v>46</v>
      </c>
      <c r="C933" s="9">
        <v>58</v>
      </c>
      <c r="D933" s="21" t="s">
        <v>37</v>
      </c>
      <c r="E933" s="12">
        <v>2</v>
      </c>
      <c r="F933" s="9" t="s">
        <v>36</v>
      </c>
      <c r="G933" s="9"/>
      <c r="H933" s="16"/>
    </row>
    <row r="934" spans="1:9" x14ac:dyDescent="0.55000000000000004">
      <c r="A934" s="10" t="s">
        <v>13</v>
      </c>
      <c r="B934" s="9">
        <v>45</v>
      </c>
      <c r="C934" s="9">
        <v>57</v>
      </c>
      <c r="D934" s="21" t="s">
        <v>37</v>
      </c>
      <c r="E934" s="12">
        <v>2</v>
      </c>
      <c r="F934" s="9" t="s">
        <v>36</v>
      </c>
      <c r="G934" s="9"/>
      <c r="H934" s="18"/>
    </row>
    <row r="935" spans="1:9" ht="14.7" thickBot="1" x14ac:dyDescent="0.6">
      <c r="A935" s="13" t="s">
        <v>41</v>
      </c>
      <c r="B935" s="14">
        <v>47</v>
      </c>
      <c r="C935" s="14">
        <v>63</v>
      </c>
      <c r="D935" s="23" t="s">
        <v>37</v>
      </c>
      <c r="E935" s="14">
        <v>2</v>
      </c>
      <c r="F935" s="14" t="s">
        <v>36</v>
      </c>
      <c r="G935" s="14">
        <v>335.5</v>
      </c>
      <c r="H935" s="27">
        <f>Tabla269162371[[#This Row],[Total cluster weight (g)]]/COUNTA(A932:A935)</f>
        <v>83.875</v>
      </c>
    </row>
    <row r="936" spans="1:9" x14ac:dyDescent="0.55000000000000004">
      <c r="A936" s="11" t="s">
        <v>42</v>
      </c>
      <c r="B936" s="12">
        <v>54</v>
      </c>
      <c r="C936" s="12">
        <v>71</v>
      </c>
      <c r="D936" s="28" t="s">
        <v>37</v>
      </c>
      <c r="E936" s="12">
        <v>3</v>
      </c>
      <c r="F936" s="12" t="s">
        <v>35</v>
      </c>
      <c r="G936" s="12"/>
      <c r="H936" s="97"/>
    </row>
    <row r="937" spans="1:9" x14ac:dyDescent="0.55000000000000004">
      <c r="A937" s="8" t="s">
        <v>43</v>
      </c>
      <c r="B937" s="9">
        <v>55</v>
      </c>
      <c r="C937" s="9">
        <v>70</v>
      </c>
      <c r="D937" s="21" t="s">
        <v>37</v>
      </c>
      <c r="E937" s="12">
        <v>3</v>
      </c>
      <c r="F937" s="9" t="s">
        <v>36</v>
      </c>
      <c r="G937" s="9"/>
      <c r="H937" s="97"/>
    </row>
    <row r="938" spans="1:9" x14ac:dyDescent="0.55000000000000004">
      <c r="A938" s="10" t="s">
        <v>47</v>
      </c>
      <c r="B938" s="9">
        <v>52</v>
      </c>
      <c r="C938" s="9">
        <v>73</v>
      </c>
      <c r="D938" s="21" t="s">
        <v>37</v>
      </c>
      <c r="E938" s="12">
        <v>3</v>
      </c>
      <c r="F938" s="9" t="s">
        <v>36</v>
      </c>
      <c r="G938" s="9"/>
      <c r="H938" s="97"/>
    </row>
    <row r="939" spans="1:9" x14ac:dyDescent="0.55000000000000004">
      <c r="A939" s="11" t="s">
        <v>48</v>
      </c>
      <c r="B939" s="12">
        <v>54</v>
      </c>
      <c r="C939" s="12">
        <v>68</v>
      </c>
      <c r="D939" s="21" t="s">
        <v>37</v>
      </c>
      <c r="E939" s="12">
        <v>3</v>
      </c>
      <c r="F939" s="9" t="s">
        <v>36</v>
      </c>
      <c r="G939" s="9"/>
      <c r="H939" s="97"/>
    </row>
    <row r="940" spans="1:9" ht="14.7" thickBot="1" x14ac:dyDescent="0.6">
      <c r="A940" s="13" t="s">
        <v>49</v>
      </c>
      <c r="B940" s="14">
        <v>54</v>
      </c>
      <c r="C940" s="14">
        <v>70</v>
      </c>
      <c r="D940" s="23" t="s">
        <v>37</v>
      </c>
      <c r="E940" s="14">
        <v>3</v>
      </c>
      <c r="F940" s="14" t="s">
        <v>36</v>
      </c>
      <c r="G940" s="14">
        <v>655.5</v>
      </c>
      <c r="H940" s="27">
        <f>Tabla269162371[[#This Row],[Total cluster weight (g)]]/COUNTA(A936:A940)</f>
        <v>131.1</v>
      </c>
    </row>
    <row r="941" spans="1:9" x14ac:dyDescent="0.55000000000000004">
      <c r="A941" s="61" t="s">
        <v>50</v>
      </c>
      <c r="B941" s="114">
        <v>51</v>
      </c>
      <c r="C941" s="41">
        <v>65</v>
      </c>
      <c r="D941" s="42" t="s">
        <v>37</v>
      </c>
      <c r="E941" s="41">
        <v>4</v>
      </c>
      <c r="F941" s="20" t="s">
        <v>61</v>
      </c>
      <c r="G941" s="41"/>
      <c r="H941" s="97"/>
    </row>
    <row r="942" spans="1:9" x14ac:dyDescent="0.55000000000000004">
      <c r="A942" s="61" t="s">
        <v>51</v>
      </c>
      <c r="B942" s="114">
        <v>52</v>
      </c>
      <c r="C942" s="41">
        <v>70</v>
      </c>
      <c r="D942" s="42" t="s">
        <v>37</v>
      </c>
      <c r="E942" s="41">
        <v>4</v>
      </c>
      <c r="F942" s="9" t="s">
        <v>35</v>
      </c>
      <c r="G942" s="41"/>
      <c r="H942" s="97"/>
    </row>
    <row r="943" spans="1:9" x14ac:dyDescent="0.55000000000000004">
      <c r="A943" s="61" t="s">
        <v>52</v>
      </c>
      <c r="B943" s="114">
        <v>52</v>
      </c>
      <c r="C943" s="41">
        <v>70</v>
      </c>
      <c r="D943" s="42" t="s">
        <v>37</v>
      </c>
      <c r="E943" s="41">
        <v>4</v>
      </c>
      <c r="F943" s="9" t="s">
        <v>36</v>
      </c>
      <c r="G943" s="41"/>
      <c r="H943" s="97"/>
    </row>
    <row r="944" spans="1:9" x14ac:dyDescent="0.55000000000000004">
      <c r="A944" s="61" t="s">
        <v>53</v>
      </c>
      <c r="B944" s="114">
        <v>53</v>
      </c>
      <c r="C944" s="41">
        <v>67</v>
      </c>
      <c r="D944" s="42" t="s">
        <v>37</v>
      </c>
      <c r="E944" s="41">
        <v>4</v>
      </c>
      <c r="F944" s="9" t="s">
        <v>36</v>
      </c>
      <c r="G944" s="41"/>
      <c r="H944" s="97"/>
    </row>
    <row r="945" spans="1:8" x14ac:dyDescent="0.55000000000000004">
      <c r="A945" s="61" t="s">
        <v>80</v>
      </c>
      <c r="B945" s="114">
        <v>56</v>
      </c>
      <c r="C945" s="41">
        <v>76</v>
      </c>
      <c r="D945" s="42" t="s">
        <v>37</v>
      </c>
      <c r="E945" s="41">
        <v>4</v>
      </c>
      <c r="F945" s="9" t="s">
        <v>36</v>
      </c>
      <c r="G945" s="41"/>
      <c r="H945" s="97"/>
    </row>
    <row r="946" spans="1:8" ht="14.7" thickBot="1" x14ac:dyDescent="0.6">
      <c r="A946" s="94" t="s">
        <v>81</v>
      </c>
      <c r="B946" s="117">
        <v>58</v>
      </c>
      <c r="C946" s="22">
        <v>84</v>
      </c>
      <c r="D946" s="26" t="s">
        <v>37</v>
      </c>
      <c r="E946" s="22">
        <v>4</v>
      </c>
      <c r="F946" s="22" t="s">
        <v>36</v>
      </c>
      <c r="G946" s="22">
        <v>807.5</v>
      </c>
      <c r="H946" s="135">
        <f>Tabla269162371[[#This Row],[Total cluster weight (g)]]/COUNTA(A941:A946)</f>
        <v>134.58333333333334</v>
      </c>
    </row>
    <row r="947" spans="1:8" x14ac:dyDescent="0.55000000000000004">
      <c r="A947" s="61" t="s">
        <v>66</v>
      </c>
      <c r="B947" s="114">
        <v>54</v>
      </c>
      <c r="C947" s="41">
        <v>70</v>
      </c>
      <c r="D947" s="42" t="s">
        <v>37</v>
      </c>
      <c r="E947" s="41">
        <v>5</v>
      </c>
      <c r="F947" s="20" t="s">
        <v>35</v>
      </c>
      <c r="G947" s="41"/>
      <c r="H947" s="97"/>
    </row>
    <row r="948" spans="1:8" x14ac:dyDescent="0.55000000000000004">
      <c r="A948" s="61" t="s">
        <v>67</v>
      </c>
      <c r="B948" s="114">
        <v>55</v>
      </c>
      <c r="C948" s="41">
        <v>71</v>
      </c>
      <c r="D948" s="42" t="s">
        <v>37</v>
      </c>
      <c r="E948" s="41">
        <v>5</v>
      </c>
      <c r="F948" s="9" t="s">
        <v>36</v>
      </c>
      <c r="G948" s="41"/>
      <c r="H948" s="97"/>
    </row>
    <row r="949" spans="1:8" x14ac:dyDescent="0.55000000000000004">
      <c r="A949" s="61" t="s">
        <v>71</v>
      </c>
      <c r="B949" s="114">
        <v>55</v>
      </c>
      <c r="C949" s="41">
        <v>70</v>
      </c>
      <c r="D949" s="42" t="s">
        <v>37</v>
      </c>
      <c r="E949" s="41">
        <v>5</v>
      </c>
      <c r="F949" s="9" t="s">
        <v>36</v>
      </c>
      <c r="G949" s="41"/>
      <c r="H949" s="97"/>
    </row>
    <row r="950" spans="1:8" x14ac:dyDescent="0.55000000000000004">
      <c r="A950" s="61" t="s">
        <v>89</v>
      </c>
      <c r="B950" s="114">
        <v>56</v>
      </c>
      <c r="C950" s="41">
        <v>74</v>
      </c>
      <c r="D950" s="42" t="s">
        <v>37</v>
      </c>
      <c r="E950" s="41">
        <v>5</v>
      </c>
      <c r="F950" s="9" t="s">
        <v>36</v>
      </c>
      <c r="G950" s="41"/>
      <c r="H950" s="97"/>
    </row>
    <row r="951" spans="1:8" ht="14.7" thickBot="1" x14ac:dyDescent="0.6">
      <c r="A951" s="94" t="s">
        <v>92</v>
      </c>
      <c r="B951" s="117">
        <v>56</v>
      </c>
      <c r="C951" s="22">
        <v>73</v>
      </c>
      <c r="D951" s="26" t="s">
        <v>37</v>
      </c>
      <c r="E951" s="22">
        <v>5</v>
      </c>
      <c r="F951" s="14" t="s">
        <v>36</v>
      </c>
      <c r="G951" s="22">
        <v>730.5</v>
      </c>
      <c r="H951" s="135">
        <f>Tabla269162371[[#This Row],[Total cluster weight (g)]]/COUNTA(A947:A951)</f>
        <v>146.1</v>
      </c>
    </row>
    <row r="952" spans="1:8" x14ac:dyDescent="0.55000000000000004">
      <c r="A952" s="61" t="s">
        <v>93</v>
      </c>
      <c r="B952" s="114">
        <v>57</v>
      </c>
      <c r="C952" s="41">
        <v>69</v>
      </c>
      <c r="D952" s="42" t="s">
        <v>37</v>
      </c>
      <c r="E952" s="41">
        <v>6</v>
      </c>
      <c r="F952" s="12" t="s">
        <v>35</v>
      </c>
      <c r="G952" s="41"/>
      <c r="H952" s="97"/>
    </row>
    <row r="953" spans="1:8" x14ac:dyDescent="0.55000000000000004">
      <c r="A953" s="61" t="s">
        <v>94</v>
      </c>
      <c r="B953" s="114">
        <v>56</v>
      </c>
      <c r="C953" s="41">
        <v>67</v>
      </c>
      <c r="D953" s="42" t="s">
        <v>37</v>
      </c>
      <c r="E953" s="41">
        <v>6</v>
      </c>
      <c r="F953" s="9" t="s">
        <v>35</v>
      </c>
      <c r="G953" s="41"/>
      <c r="H953" s="97"/>
    </row>
    <row r="954" spans="1:8" x14ac:dyDescent="0.55000000000000004">
      <c r="A954" s="61" t="s">
        <v>95</v>
      </c>
      <c r="B954" s="114">
        <v>54</v>
      </c>
      <c r="C954" s="41">
        <v>70</v>
      </c>
      <c r="D954" s="42" t="s">
        <v>37</v>
      </c>
      <c r="E954" s="41">
        <v>6</v>
      </c>
      <c r="F954" s="9" t="s">
        <v>36</v>
      </c>
      <c r="G954" s="41"/>
      <c r="H954" s="97"/>
    </row>
    <row r="955" spans="1:8" ht="14.7" thickBot="1" x14ac:dyDescent="0.6">
      <c r="A955" s="94" t="s">
        <v>144</v>
      </c>
      <c r="B955" s="117">
        <v>57</v>
      </c>
      <c r="C955" s="22">
        <v>74</v>
      </c>
      <c r="D955" s="26" t="s">
        <v>37</v>
      </c>
      <c r="E955" s="22">
        <v>6</v>
      </c>
      <c r="F955" s="22" t="s">
        <v>36</v>
      </c>
      <c r="G955" s="22">
        <v>663.5</v>
      </c>
      <c r="H955" s="135">
        <f>Tabla269162371[[#This Row],[Total cluster weight (g)]]/COUNTA(A952:A955)</f>
        <v>165.875</v>
      </c>
    </row>
    <row r="956" spans="1:8" x14ac:dyDescent="0.55000000000000004">
      <c r="A956" s="29"/>
      <c r="B956" s="30"/>
      <c r="C956" s="4"/>
      <c r="D956" s="31"/>
      <c r="E956" s="4"/>
      <c r="F956" s="4"/>
      <c r="G956" s="4"/>
      <c r="H956" s="62"/>
    </row>
    <row r="957" spans="1:8" x14ac:dyDescent="0.55000000000000004">
      <c r="A957" s="59" t="s">
        <v>170</v>
      </c>
      <c r="B957" s="55" t="s">
        <v>162</v>
      </c>
      <c r="C957" s="55" t="s">
        <v>163</v>
      </c>
      <c r="D957" s="55" t="s">
        <v>164</v>
      </c>
      <c r="E957" s="55" t="s">
        <v>165</v>
      </c>
      <c r="F957" s="56" t="s">
        <v>189</v>
      </c>
      <c r="G957" s="110" t="s">
        <v>230</v>
      </c>
    </row>
    <row r="958" spans="1:8" x14ac:dyDescent="0.55000000000000004">
      <c r="A958" s="60" t="s">
        <v>166</v>
      </c>
      <c r="B958" s="57">
        <f>AVERAGE(Tabla269162371[Height (mm)])</f>
        <v>52.653846153846153</v>
      </c>
      <c r="C958" s="57">
        <f>AVERAGE(Tabla269162371[Width (mm)])</f>
        <v>68.884615384615387</v>
      </c>
      <c r="D958" s="57">
        <f>MAX(Tabla269162371[[Cluster number ]])</f>
        <v>6</v>
      </c>
      <c r="E958" s="57">
        <f>AVERAGE(Tabla269162371[Tomato average weight per cluster])</f>
        <v>132.54722222222225</v>
      </c>
      <c r="F958" s="58">
        <f>COUNTA(Tabla269162371["C20" PLANT])</f>
        <v>26</v>
      </c>
      <c r="G958" s="109">
        <f>SUM(Tabla269162371[Total cluster weight (g)])</f>
        <v>3460</v>
      </c>
    </row>
    <row r="960" spans="1:8" ht="14.7" thickBot="1" x14ac:dyDescent="0.6">
      <c r="A960" s="5" t="s">
        <v>33</v>
      </c>
      <c r="B960" t="s">
        <v>3</v>
      </c>
      <c r="C960" t="s">
        <v>4</v>
      </c>
      <c r="D960" t="s">
        <v>5</v>
      </c>
      <c r="E960" t="s">
        <v>6</v>
      </c>
      <c r="F960" t="s">
        <v>7</v>
      </c>
      <c r="G960" t="s">
        <v>8</v>
      </c>
      <c r="H960" t="s">
        <v>161</v>
      </c>
    </row>
    <row r="961" spans="1:9" x14ac:dyDescent="0.55000000000000004">
      <c r="A961" s="6" t="s">
        <v>9</v>
      </c>
      <c r="B961" s="9">
        <v>48</v>
      </c>
      <c r="C961" s="9">
        <v>68</v>
      </c>
      <c r="D961" s="9">
        <v>124.5</v>
      </c>
      <c r="E961" s="9">
        <v>1</v>
      </c>
      <c r="F961" s="9" t="s">
        <v>36</v>
      </c>
      <c r="G961" s="66"/>
      <c r="H961" s="12"/>
    </row>
    <row r="962" spans="1:9" x14ac:dyDescent="0.55000000000000004">
      <c r="A962" s="8" t="s">
        <v>10</v>
      </c>
      <c r="B962" s="9">
        <v>47</v>
      </c>
      <c r="C962" s="9">
        <v>67</v>
      </c>
      <c r="D962" s="9">
        <v>115</v>
      </c>
      <c r="E962" s="9">
        <v>1</v>
      </c>
      <c r="F962" s="9" t="s">
        <v>36</v>
      </c>
      <c r="G962" s="79"/>
      <c r="H962" s="9"/>
    </row>
    <row r="963" spans="1:9" ht="14.7" thickBot="1" x14ac:dyDescent="0.6">
      <c r="A963" s="35" t="s">
        <v>11</v>
      </c>
      <c r="B963" s="14">
        <v>47</v>
      </c>
      <c r="C963" s="14">
        <v>66</v>
      </c>
      <c r="D963" s="14">
        <v>117</v>
      </c>
      <c r="E963" s="14">
        <v>1</v>
      </c>
      <c r="F963" s="14" t="s">
        <v>36</v>
      </c>
      <c r="G963" s="19">
        <v>358</v>
      </c>
      <c r="H963" s="14">
        <f>Tabla269162472[[#This Row],[Total cluster weight (g)]]/COUNTA(A961:A963)</f>
        <v>119.33333333333333</v>
      </c>
    </row>
    <row r="964" spans="1:9" x14ac:dyDescent="0.55000000000000004">
      <c r="A964" s="11" t="s">
        <v>82</v>
      </c>
      <c r="B964" s="12">
        <v>46</v>
      </c>
      <c r="C964" s="12">
        <v>62</v>
      </c>
      <c r="D964" s="28" t="s">
        <v>37</v>
      </c>
      <c r="E964" s="12">
        <v>2</v>
      </c>
      <c r="F964" s="12" t="s">
        <v>36</v>
      </c>
      <c r="G964" s="12"/>
      <c r="H964" s="12"/>
      <c r="I964" t="s">
        <v>56</v>
      </c>
    </row>
    <row r="965" spans="1:9" x14ac:dyDescent="0.55000000000000004">
      <c r="A965" s="8" t="s">
        <v>83</v>
      </c>
      <c r="B965" s="9">
        <v>48</v>
      </c>
      <c r="C965" s="9">
        <v>62</v>
      </c>
      <c r="D965" s="21" t="s">
        <v>37</v>
      </c>
      <c r="E965" s="9">
        <v>2</v>
      </c>
      <c r="F965" s="9" t="s">
        <v>36</v>
      </c>
      <c r="G965" s="9"/>
      <c r="H965" s="9"/>
    </row>
    <row r="966" spans="1:9" x14ac:dyDescent="0.55000000000000004">
      <c r="A966" s="10" t="s">
        <v>84</v>
      </c>
      <c r="B966" s="9">
        <v>49</v>
      </c>
      <c r="C966" s="9">
        <v>63</v>
      </c>
      <c r="D966" s="21" t="s">
        <v>37</v>
      </c>
      <c r="E966" s="9">
        <v>2</v>
      </c>
      <c r="F966" s="9" t="s">
        <v>36</v>
      </c>
      <c r="G966" s="9"/>
      <c r="H966" s="9"/>
    </row>
    <row r="967" spans="1:9" x14ac:dyDescent="0.55000000000000004">
      <c r="A967" s="10" t="s">
        <v>42</v>
      </c>
      <c r="B967" s="9">
        <v>50</v>
      </c>
      <c r="C967" s="9">
        <v>62</v>
      </c>
      <c r="D967" s="21" t="s">
        <v>37</v>
      </c>
      <c r="E967" s="9">
        <v>2</v>
      </c>
      <c r="F967" s="9" t="s">
        <v>36</v>
      </c>
      <c r="G967" s="9"/>
      <c r="H967" s="9"/>
    </row>
    <row r="968" spans="1:9" ht="14.7" thickBot="1" x14ac:dyDescent="0.6">
      <c r="A968" s="13" t="s">
        <v>43</v>
      </c>
      <c r="B968" s="14">
        <v>51</v>
      </c>
      <c r="C968" s="14">
        <v>63</v>
      </c>
      <c r="D968" s="23" t="s">
        <v>37</v>
      </c>
      <c r="E968" s="14">
        <v>2</v>
      </c>
      <c r="F968" s="14" t="s">
        <v>36</v>
      </c>
      <c r="G968" s="14">
        <v>508.5</v>
      </c>
      <c r="H968" s="14">
        <f>Tabla269162472[[#This Row],[Total cluster weight (g)]]/COUNTA(A964:A968)</f>
        <v>101.7</v>
      </c>
    </row>
    <row r="969" spans="1:9" x14ac:dyDescent="0.55000000000000004">
      <c r="A969" s="6" t="s">
        <v>47</v>
      </c>
      <c r="B969" s="7">
        <v>50</v>
      </c>
      <c r="C969" s="7">
        <v>65</v>
      </c>
      <c r="D969" s="21" t="s">
        <v>37</v>
      </c>
      <c r="E969" s="9">
        <v>3</v>
      </c>
      <c r="F969" s="9" t="s">
        <v>35</v>
      </c>
      <c r="G969" s="9"/>
      <c r="H969" s="12"/>
    </row>
    <row r="970" spans="1:9" x14ac:dyDescent="0.55000000000000004">
      <c r="A970" s="8" t="s">
        <v>48</v>
      </c>
      <c r="B970" s="9">
        <v>50</v>
      </c>
      <c r="C970" s="9">
        <v>69</v>
      </c>
      <c r="D970" s="21" t="s">
        <v>37</v>
      </c>
      <c r="E970" s="9">
        <v>3</v>
      </c>
      <c r="F970" s="9" t="s">
        <v>36</v>
      </c>
      <c r="G970" s="9"/>
      <c r="H970" s="9"/>
    </row>
    <row r="971" spans="1:9" x14ac:dyDescent="0.55000000000000004">
      <c r="A971" s="10" t="s">
        <v>49</v>
      </c>
      <c r="B971" s="9">
        <v>51</v>
      </c>
      <c r="C971" s="9">
        <v>68</v>
      </c>
      <c r="D971" s="21" t="s">
        <v>37</v>
      </c>
      <c r="E971" s="9">
        <v>3</v>
      </c>
      <c r="F971" s="9" t="s">
        <v>36</v>
      </c>
      <c r="G971" s="9"/>
      <c r="H971" s="9"/>
    </row>
    <row r="972" spans="1:9" x14ac:dyDescent="0.55000000000000004">
      <c r="A972" s="10" t="s">
        <v>50</v>
      </c>
      <c r="B972" s="9">
        <v>50</v>
      </c>
      <c r="C972" s="9">
        <v>65</v>
      </c>
      <c r="D972" s="21" t="s">
        <v>37</v>
      </c>
      <c r="E972" s="9">
        <v>3</v>
      </c>
      <c r="F972" s="9" t="s">
        <v>36</v>
      </c>
      <c r="G972" s="9"/>
      <c r="H972" s="9"/>
    </row>
    <row r="973" spans="1:9" ht="14.7" thickBot="1" x14ac:dyDescent="0.6">
      <c r="A973" s="13" t="s">
        <v>51</v>
      </c>
      <c r="B973" s="14">
        <v>53</v>
      </c>
      <c r="C973" s="14">
        <v>68</v>
      </c>
      <c r="D973" s="23" t="s">
        <v>37</v>
      </c>
      <c r="E973" s="14">
        <v>3</v>
      </c>
      <c r="F973" s="14" t="s">
        <v>36</v>
      </c>
      <c r="G973" s="14">
        <v>572</v>
      </c>
      <c r="H973" s="14">
        <f>Tabla269162472[[#This Row],[Total cluster weight (g)]]/COUNTA(A969:A973)</f>
        <v>114.4</v>
      </c>
    </row>
    <row r="974" spans="1:9" x14ac:dyDescent="0.55000000000000004">
      <c r="A974" s="6" t="s">
        <v>52</v>
      </c>
      <c r="B974" s="7">
        <v>46</v>
      </c>
      <c r="C974" s="7">
        <v>62</v>
      </c>
      <c r="D974" s="21" t="s">
        <v>37</v>
      </c>
      <c r="E974" s="9">
        <v>4</v>
      </c>
      <c r="F974" s="9" t="s">
        <v>35</v>
      </c>
      <c r="G974" s="9"/>
      <c r="H974" s="93"/>
    </row>
    <row r="975" spans="1:9" x14ac:dyDescent="0.55000000000000004">
      <c r="A975" s="8" t="s">
        <v>53</v>
      </c>
      <c r="B975" s="9">
        <v>47</v>
      </c>
      <c r="C975" s="9">
        <v>59</v>
      </c>
      <c r="D975" s="21" t="s">
        <v>37</v>
      </c>
      <c r="E975" s="9">
        <v>4</v>
      </c>
      <c r="F975" s="9" t="s">
        <v>36</v>
      </c>
      <c r="G975" s="9"/>
      <c r="H975" s="88"/>
    </row>
    <row r="976" spans="1:9" x14ac:dyDescent="0.55000000000000004">
      <c r="A976" s="10" t="s">
        <v>80</v>
      </c>
      <c r="B976" s="9">
        <v>49</v>
      </c>
      <c r="C976" s="9">
        <v>64</v>
      </c>
      <c r="D976" s="21" t="s">
        <v>37</v>
      </c>
      <c r="E976" s="9">
        <v>4</v>
      </c>
      <c r="F976" s="9" t="s">
        <v>35</v>
      </c>
      <c r="G976" s="9"/>
      <c r="H976" s="88"/>
    </row>
    <row r="977" spans="1:9" x14ac:dyDescent="0.55000000000000004">
      <c r="A977" s="10" t="s">
        <v>81</v>
      </c>
      <c r="B977" s="9">
        <v>49</v>
      </c>
      <c r="C977" s="9">
        <v>60</v>
      </c>
      <c r="D977" s="21" t="s">
        <v>37</v>
      </c>
      <c r="E977" s="9">
        <v>4</v>
      </c>
      <c r="F977" s="9" t="s">
        <v>36</v>
      </c>
      <c r="G977" s="9"/>
      <c r="H977" s="88"/>
    </row>
    <row r="978" spans="1:9" ht="14.7" thickBot="1" x14ac:dyDescent="0.6">
      <c r="A978" s="13" t="s">
        <v>66</v>
      </c>
      <c r="B978" s="14">
        <v>48</v>
      </c>
      <c r="C978" s="14">
        <v>61</v>
      </c>
      <c r="D978" s="23" t="s">
        <v>37</v>
      </c>
      <c r="E978" s="14">
        <v>4</v>
      </c>
      <c r="F978" s="14" t="s">
        <v>36</v>
      </c>
      <c r="G978" s="14">
        <v>456</v>
      </c>
      <c r="H978" s="14">
        <f>Tabla269162472[[#This Row],[Total cluster weight (g)]]/COUNTA(A974:A978)</f>
        <v>91.2</v>
      </c>
    </row>
    <row r="979" spans="1:9" x14ac:dyDescent="0.55000000000000004">
      <c r="A979" s="6" t="s">
        <v>67</v>
      </c>
      <c r="B979" s="7">
        <v>49</v>
      </c>
      <c r="C979" s="7">
        <v>61</v>
      </c>
      <c r="D979" s="21" t="s">
        <v>37</v>
      </c>
      <c r="E979" s="9">
        <v>5</v>
      </c>
      <c r="F979" s="9" t="s">
        <v>35</v>
      </c>
      <c r="G979" s="9"/>
      <c r="H979" s="85"/>
    </row>
    <row r="980" spans="1:9" x14ac:dyDescent="0.55000000000000004">
      <c r="A980" s="8" t="s">
        <v>71</v>
      </c>
      <c r="B980" s="9">
        <v>49</v>
      </c>
      <c r="C980" s="9">
        <v>63</v>
      </c>
      <c r="D980" s="21" t="s">
        <v>37</v>
      </c>
      <c r="E980" s="9">
        <v>5</v>
      </c>
      <c r="F980" s="9" t="s">
        <v>36</v>
      </c>
      <c r="G980" s="9"/>
      <c r="H980" s="88"/>
    </row>
    <row r="981" spans="1:9" x14ac:dyDescent="0.55000000000000004">
      <c r="A981" s="10" t="s">
        <v>89</v>
      </c>
      <c r="B981" s="9">
        <v>48</v>
      </c>
      <c r="C981" s="9">
        <v>61</v>
      </c>
      <c r="D981" s="21" t="s">
        <v>37</v>
      </c>
      <c r="E981" s="9">
        <v>5</v>
      </c>
      <c r="F981" s="9" t="s">
        <v>36</v>
      </c>
      <c r="G981" s="9"/>
      <c r="H981" s="88"/>
    </row>
    <row r="982" spans="1:9" x14ac:dyDescent="0.55000000000000004">
      <c r="A982" s="10" t="s">
        <v>92</v>
      </c>
      <c r="B982" s="9">
        <v>50</v>
      </c>
      <c r="C982" s="9">
        <v>63</v>
      </c>
      <c r="D982" s="21" t="s">
        <v>37</v>
      </c>
      <c r="E982" s="9">
        <v>5</v>
      </c>
      <c r="F982" s="9" t="s">
        <v>36</v>
      </c>
      <c r="G982" s="9"/>
      <c r="H982" s="88"/>
    </row>
    <row r="983" spans="1:9" ht="14.7" thickBot="1" x14ac:dyDescent="0.6">
      <c r="A983" s="13" t="s">
        <v>93</v>
      </c>
      <c r="B983" s="14">
        <v>49</v>
      </c>
      <c r="C983" s="14">
        <v>62</v>
      </c>
      <c r="D983" s="23" t="s">
        <v>37</v>
      </c>
      <c r="E983" s="14">
        <v>5</v>
      </c>
      <c r="F983" s="14" t="s">
        <v>36</v>
      </c>
      <c r="G983" s="14">
        <v>496.5</v>
      </c>
      <c r="H983" s="22">
        <f>Tabla269162472[[#This Row],[Total cluster weight (g)]]/COUNTA(A979:A983)</f>
        <v>99.3</v>
      </c>
    </row>
    <row r="984" spans="1:9" x14ac:dyDescent="0.55000000000000004">
      <c r="A984" s="61" t="s">
        <v>94</v>
      </c>
      <c r="B984" s="114">
        <v>50</v>
      </c>
      <c r="C984" s="41">
        <v>62</v>
      </c>
      <c r="D984" s="42" t="s">
        <v>37</v>
      </c>
      <c r="E984" s="41">
        <v>6</v>
      </c>
      <c r="F984" s="20" t="s">
        <v>36</v>
      </c>
      <c r="G984" s="41"/>
      <c r="H984" s="85"/>
    </row>
    <row r="985" spans="1:9" x14ac:dyDescent="0.55000000000000004">
      <c r="A985" s="61" t="s">
        <v>95</v>
      </c>
      <c r="B985" s="114">
        <v>50</v>
      </c>
      <c r="C985" s="41">
        <v>64</v>
      </c>
      <c r="D985" s="42" t="s">
        <v>37</v>
      </c>
      <c r="E985" s="41">
        <v>6</v>
      </c>
      <c r="F985" s="9" t="s">
        <v>36</v>
      </c>
      <c r="G985" s="9"/>
      <c r="H985" s="88"/>
    </row>
    <row r="986" spans="1:9" x14ac:dyDescent="0.55000000000000004">
      <c r="A986" s="61" t="s">
        <v>144</v>
      </c>
      <c r="B986" s="114">
        <v>54</v>
      </c>
      <c r="C986" s="41">
        <v>63</v>
      </c>
      <c r="D986" s="42" t="s">
        <v>37</v>
      </c>
      <c r="E986" s="41">
        <v>6</v>
      </c>
      <c r="F986" s="9" t="s">
        <v>36</v>
      </c>
      <c r="G986" s="9"/>
      <c r="H986" s="88"/>
    </row>
    <row r="987" spans="1:9" x14ac:dyDescent="0.55000000000000004">
      <c r="A987" s="61" t="s">
        <v>150</v>
      </c>
      <c r="B987" s="114">
        <v>52</v>
      </c>
      <c r="C987" s="41">
        <v>64</v>
      </c>
      <c r="D987" s="42" t="s">
        <v>37</v>
      </c>
      <c r="E987" s="41">
        <v>6</v>
      </c>
      <c r="F987" s="9" t="s">
        <v>36</v>
      </c>
      <c r="G987" s="9"/>
      <c r="H987" s="88"/>
    </row>
    <row r="988" spans="1:9" ht="14.7" thickBot="1" x14ac:dyDescent="0.6">
      <c r="A988" s="94" t="s">
        <v>151</v>
      </c>
      <c r="B988" s="117">
        <v>55</v>
      </c>
      <c r="C988" s="22">
        <v>69</v>
      </c>
      <c r="D988" s="26" t="s">
        <v>37</v>
      </c>
      <c r="E988" s="22">
        <v>6</v>
      </c>
      <c r="F988" s="14" t="s">
        <v>36</v>
      </c>
      <c r="G988" s="14">
        <v>601</v>
      </c>
      <c r="H988" s="102">
        <f>Tabla269162472[[#This Row],[Total cluster weight (g)]]/COUNTA(A984:A988)</f>
        <v>120.2</v>
      </c>
    </row>
    <row r="989" spans="1:9" x14ac:dyDescent="0.55000000000000004">
      <c r="A989" s="61" t="s">
        <v>152</v>
      </c>
      <c r="B989" s="114">
        <v>53</v>
      </c>
      <c r="C989" s="41">
        <v>63</v>
      </c>
      <c r="D989" s="42" t="s">
        <v>37</v>
      </c>
      <c r="E989" s="41">
        <v>7</v>
      </c>
      <c r="F989" s="20" t="s">
        <v>36</v>
      </c>
      <c r="G989" s="41"/>
      <c r="H989" s="85"/>
    </row>
    <row r="990" spans="1:9" x14ac:dyDescent="0.55000000000000004">
      <c r="A990" s="61" t="s">
        <v>153</v>
      </c>
      <c r="B990" s="114">
        <v>60</v>
      </c>
      <c r="C990" s="41">
        <v>97</v>
      </c>
      <c r="D990" s="42" t="s">
        <v>37</v>
      </c>
      <c r="E990" s="41">
        <v>7</v>
      </c>
      <c r="F990" s="9" t="s">
        <v>36</v>
      </c>
      <c r="G990" s="9"/>
      <c r="H990" s="88"/>
      <c r="I990" s="145" t="s">
        <v>254</v>
      </c>
    </row>
    <row r="991" spans="1:9" x14ac:dyDescent="0.55000000000000004">
      <c r="A991" s="61" t="s">
        <v>158</v>
      </c>
      <c r="B991" s="114">
        <v>50</v>
      </c>
      <c r="C991" s="41">
        <v>66</v>
      </c>
      <c r="D991" s="42" t="s">
        <v>37</v>
      </c>
      <c r="E991" s="41">
        <v>7</v>
      </c>
      <c r="F991" s="9" t="s">
        <v>36</v>
      </c>
      <c r="G991" s="9"/>
      <c r="H991" s="88"/>
    </row>
    <row r="992" spans="1:9" ht="14.7" thickBot="1" x14ac:dyDescent="0.6">
      <c r="A992" s="94" t="s">
        <v>215</v>
      </c>
      <c r="B992" s="117">
        <v>54</v>
      </c>
      <c r="C992" s="22">
        <v>71</v>
      </c>
      <c r="D992" s="26" t="s">
        <v>37</v>
      </c>
      <c r="E992" s="22">
        <v>7</v>
      </c>
      <c r="F992" s="14" t="s">
        <v>36</v>
      </c>
      <c r="G992" s="14">
        <v>651</v>
      </c>
      <c r="H992" s="102">
        <f>Tabla269162472[[#This Row],[Total cluster weight (g)]]/COUNTA(A989:A992)</f>
        <v>162.75</v>
      </c>
    </row>
    <row r="993" spans="1:9" x14ac:dyDescent="0.55000000000000004">
      <c r="A993" s="61" t="s">
        <v>216</v>
      </c>
      <c r="B993" s="114">
        <v>52</v>
      </c>
      <c r="C993" s="41">
        <v>62</v>
      </c>
      <c r="D993" s="42" t="s">
        <v>37</v>
      </c>
      <c r="E993" s="41">
        <v>8</v>
      </c>
      <c r="F993" s="12" t="s">
        <v>36</v>
      </c>
      <c r="G993" s="12"/>
      <c r="H993" s="93"/>
    </row>
    <row r="994" spans="1:9" x14ac:dyDescent="0.55000000000000004">
      <c r="A994" s="61" t="s">
        <v>217</v>
      </c>
      <c r="B994" s="114">
        <v>46</v>
      </c>
      <c r="C994" s="41">
        <v>56</v>
      </c>
      <c r="D994" s="42" t="s">
        <v>37</v>
      </c>
      <c r="E994" s="41">
        <v>8</v>
      </c>
      <c r="F994" s="9" t="s">
        <v>36</v>
      </c>
      <c r="G994" s="9"/>
      <c r="H994" s="88"/>
    </row>
    <row r="995" spans="1:9" x14ac:dyDescent="0.55000000000000004">
      <c r="A995" s="61" t="s">
        <v>218</v>
      </c>
      <c r="B995" s="114">
        <v>52</v>
      </c>
      <c r="C995" s="41">
        <v>65</v>
      </c>
      <c r="D995" s="42" t="s">
        <v>37</v>
      </c>
      <c r="E995" s="41">
        <v>8</v>
      </c>
      <c r="F995" s="9" t="s">
        <v>36</v>
      </c>
      <c r="G995" s="9"/>
      <c r="H995" s="88"/>
    </row>
    <row r="996" spans="1:9" x14ac:dyDescent="0.55000000000000004">
      <c r="A996" s="61" t="s">
        <v>219</v>
      </c>
      <c r="B996" s="114">
        <v>52</v>
      </c>
      <c r="C996" s="41">
        <v>65</v>
      </c>
      <c r="D996" s="42" t="s">
        <v>37</v>
      </c>
      <c r="E996" s="41">
        <v>8</v>
      </c>
      <c r="F996" s="9" t="s">
        <v>36</v>
      </c>
      <c r="G996" s="9"/>
      <c r="H996" s="88"/>
    </row>
    <row r="997" spans="1:9" ht="14.7" thickBot="1" x14ac:dyDescent="0.6">
      <c r="A997" s="94" t="s">
        <v>222</v>
      </c>
      <c r="B997" s="117">
        <v>52</v>
      </c>
      <c r="C997" s="22">
        <v>63</v>
      </c>
      <c r="D997" s="26" t="s">
        <v>37</v>
      </c>
      <c r="E997" s="22">
        <v>8</v>
      </c>
      <c r="F997" s="22" t="s">
        <v>36</v>
      </c>
      <c r="G997" s="22">
        <v>542.5</v>
      </c>
      <c r="H997" s="113">
        <f>Tabla269162472[[#This Row],[Total cluster weight (g)]]/COUNTA(A993:A997)</f>
        <v>108.5</v>
      </c>
    </row>
    <row r="998" spans="1:9" x14ac:dyDescent="0.55000000000000004">
      <c r="A998" s="61" t="s">
        <v>272</v>
      </c>
      <c r="B998" s="114">
        <v>50</v>
      </c>
      <c r="C998" s="41">
        <v>62</v>
      </c>
      <c r="D998" s="42" t="s">
        <v>37</v>
      </c>
      <c r="E998" s="41">
        <v>9</v>
      </c>
      <c r="F998" s="20" t="s">
        <v>36</v>
      </c>
      <c r="G998" s="41"/>
      <c r="H998" s="85"/>
      <c r="I998" s="145" t="s">
        <v>56</v>
      </c>
    </row>
    <row r="999" spans="1:9" x14ac:dyDescent="0.55000000000000004">
      <c r="A999" s="61" t="s">
        <v>273</v>
      </c>
      <c r="B999" s="114">
        <v>53</v>
      </c>
      <c r="C999" s="41">
        <v>64</v>
      </c>
      <c r="D999" s="42" t="s">
        <v>37</v>
      </c>
      <c r="E999" s="41">
        <v>9</v>
      </c>
      <c r="F999" s="9" t="s">
        <v>36</v>
      </c>
      <c r="G999" s="9"/>
      <c r="H999" s="88"/>
    </row>
    <row r="1000" spans="1:9" x14ac:dyDescent="0.55000000000000004">
      <c r="A1000" s="61" t="s">
        <v>274</v>
      </c>
      <c r="B1000" s="114">
        <v>54</v>
      </c>
      <c r="C1000" s="41">
        <v>66</v>
      </c>
      <c r="D1000" s="42" t="s">
        <v>37</v>
      </c>
      <c r="E1000" s="41">
        <v>9</v>
      </c>
      <c r="F1000" s="9" t="s">
        <v>36</v>
      </c>
      <c r="G1000" s="9"/>
      <c r="H1000" s="88"/>
    </row>
    <row r="1001" spans="1:9" ht="14.7" thickBot="1" x14ac:dyDescent="0.6">
      <c r="A1001" s="94" t="s">
        <v>234</v>
      </c>
      <c r="B1001" s="117">
        <v>56</v>
      </c>
      <c r="C1001" s="22">
        <v>70</v>
      </c>
      <c r="D1001" s="26" t="s">
        <v>37</v>
      </c>
      <c r="E1001" s="22">
        <v>9</v>
      </c>
      <c r="F1001" s="22" t="s">
        <v>36</v>
      </c>
      <c r="G1001" s="22">
        <v>518</v>
      </c>
      <c r="H1001" s="113">
        <f>Tabla269162472[[#This Row],[Total cluster weight (g)]]/COUNTA(A998:A1001)</f>
        <v>129.5</v>
      </c>
    </row>
    <row r="1002" spans="1:9" x14ac:dyDescent="0.55000000000000004">
      <c r="A1002" s="29"/>
      <c r="B1002" s="30"/>
      <c r="C1002" s="4"/>
      <c r="D1002" s="31"/>
      <c r="E1002" s="4"/>
      <c r="F1002" s="4"/>
      <c r="G1002" s="4"/>
    </row>
    <row r="1003" spans="1:9" x14ac:dyDescent="0.55000000000000004">
      <c r="A1003" s="59" t="s">
        <v>169</v>
      </c>
      <c r="B1003" s="55" t="s">
        <v>162</v>
      </c>
      <c r="C1003" s="55" t="s">
        <v>163</v>
      </c>
      <c r="D1003" s="55" t="s">
        <v>164</v>
      </c>
      <c r="E1003" s="55" t="s">
        <v>165</v>
      </c>
      <c r="F1003" s="56" t="s">
        <v>189</v>
      </c>
      <c r="G1003" s="110" t="s">
        <v>230</v>
      </c>
    </row>
    <row r="1004" spans="1:9" x14ac:dyDescent="0.55000000000000004">
      <c r="A1004" s="60" t="s">
        <v>166</v>
      </c>
      <c r="B1004" s="57">
        <f>AVERAGE(Tabla269162472[Height (mm)])</f>
        <v>50.463414634146339</v>
      </c>
      <c r="C1004" s="57">
        <f>AVERAGE(Tabla269162472[Width (mm)])</f>
        <v>64.780487804878049</v>
      </c>
      <c r="D1004" s="57">
        <f>MAX(Tabla269162472[[Cluster number ]])</f>
        <v>9</v>
      </c>
      <c r="E1004" s="57">
        <f>AVERAGE(Tabla269162472[Tomato average weight per cluster])</f>
        <v>116.32037037037036</v>
      </c>
      <c r="F1004" s="58">
        <f>COUNTA(Tabla269162472["C21" PLANT])</f>
        <v>41</v>
      </c>
      <c r="G1004" s="109">
        <f>SUM(Tabla269162472[Total cluster weight (g)])</f>
        <v>4703.5</v>
      </c>
    </row>
    <row r="1006" spans="1:9" ht="14.7" thickBot="1" x14ac:dyDescent="0.6">
      <c r="A1006" s="5" t="s">
        <v>34</v>
      </c>
      <c r="B1006" t="s">
        <v>3</v>
      </c>
      <c r="C1006" t="s">
        <v>4</v>
      </c>
      <c r="D1006" t="s">
        <v>5</v>
      </c>
      <c r="E1006" t="s">
        <v>6</v>
      </c>
      <c r="F1006" t="s">
        <v>7</v>
      </c>
      <c r="G1006" t="s">
        <v>8</v>
      </c>
      <c r="H1006" t="s">
        <v>161</v>
      </c>
    </row>
    <row r="1007" spans="1:9" ht="14.7" thickBot="1" x14ac:dyDescent="0.6">
      <c r="A1007" s="35" t="s">
        <v>9</v>
      </c>
      <c r="B1007" s="46">
        <v>46</v>
      </c>
      <c r="C1007" s="46">
        <v>57</v>
      </c>
      <c r="D1007" s="46">
        <v>86.5</v>
      </c>
      <c r="E1007" s="81">
        <v>1</v>
      </c>
      <c r="F1007" s="82" t="s">
        <v>36</v>
      </c>
      <c r="G1007" s="83">
        <v>86.5</v>
      </c>
      <c r="H1007" s="83">
        <v>86.5</v>
      </c>
      <c r="I1007" t="s">
        <v>226</v>
      </c>
    </row>
    <row r="1008" spans="1:9" ht="14.7" thickBot="1" x14ac:dyDescent="0.6">
      <c r="A1008" s="107" t="s">
        <v>225</v>
      </c>
      <c r="B1008" s="46">
        <v>52</v>
      </c>
      <c r="C1008" s="46">
        <v>67</v>
      </c>
      <c r="D1008" s="46">
        <v>131.5</v>
      </c>
      <c r="E1008" s="108">
        <v>2</v>
      </c>
      <c r="F1008" s="46" t="s">
        <v>36</v>
      </c>
      <c r="G1008" s="108">
        <v>131.5</v>
      </c>
      <c r="H1008" s="46">
        <v>131.5</v>
      </c>
      <c r="I1008" t="s">
        <v>38</v>
      </c>
    </row>
    <row r="1009" spans="1:9" x14ac:dyDescent="0.55000000000000004">
      <c r="A1009" s="34" t="s">
        <v>227</v>
      </c>
      <c r="B1009" s="12">
        <v>45</v>
      </c>
      <c r="C1009" s="12">
        <v>54</v>
      </c>
      <c r="D1009" s="28" t="s">
        <v>37</v>
      </c>
      <c r="E1009" s="12">
        <v>3</v>
      </c>
      <c r="F1009" s="12" t="s">
        <v>36</v>
      </c>
      <c r="G1009" s="12"/>
      <c r="H1009" s="12"/>
      <c r="I1009" t="s">
        <v>56</v>
      </c>
    </row>
    <row r="1010" spans="1:9" x14ac:dyDescent="0.55000000000000004">
      <c r="A1010" s="10" t="s">
        <v>228</v>
      </c>
      <c r="B1010" s="9">
        <v>48</v>
      </c>
      <c r="C1010" s="9">
        <v>61</v>
      </c>
      <c r="D1010" s="21" t="s">
        <v>37</v>
      </c>
      <c r="E1010" s="12">
        <v>3</v>
      </c>
      <c r="F1010" s="9" t="s">
        <v>36</v>
      </c>
      <c r="G1010" s="9"/>
      <c r="H1010" s="9"/>
    </row>
    <row r="1011" spans="1:9" x14ac:dyDescent="0.55000000000000004">
      <c r="A1011" s="10" t="s">
        <v>229</v>
      </c>
      <c r="B1011" s="9">
        <v>48</v>
      </c>
      <c r="C1011" s="9">
        <v>59</v>
      </c>
      <c r="D1011" s="21" t="s">
        <v>37</v>
      </c>
      <c r="E1011" s="12">
        <v>3</v>
      </c>
      <c r="F1011" s="9" t="s">
        <v>36</v>
      </c>
      <c r="G1011" s="9"/>
      <c r="H1011" s="9"/>
    </row>
    <row r="1012" spans="1:9" x14ac:dyDescent="0.55000000000000004">
      <c r="A1012" s="10" t="s">
        <v>41</v>
      </c>
      <c r="B1012" s="9">
        <v>47</v>
      </c>
      <c r="C1012" s="9">
        <v>61</v>
      </c>
      <c r="D1012" s="21" t="s">
        <v>37</v>
      </c>
      <c r="E1012" s="12">
        <v>3</v>
      </c>
      <c r="F1012" s="9" t="s">
        <v>36</v>
      </c>
      <c r="G1012" s="9"/>
      <c r="H1012" s="9"/>
    </row>
    <row r="1013" spans="1:9" ht="14.7" thickBot="1" x14ac:dyDescent="0.6">
      <c r="A1013" s="13" t="s">
        <v>42</v>
      </c>
      <c r="B1013" s="14">
        <v>48</v>
      </c>
      <c r="C1013" s="14">
        <v>63</v>
      </c>
      <c r="D1013" s="23" t="s">
        <v>37</v>
      </c>
      <c r="E1013" s="14">
        <v>3</v>
      </c>
      <c r="F1013" s="14" t="s">
        <v>36</v>
      </c>
      <c r="G1013" s="14">
        <v>460.5</v>
      </c>
      <c r="H1013" s="14">
        <f>Tabla269162573[[#This Row],[Total cluster weight (g)]]/COUNTA(A1009:A1013)</f>
        <v>92.1</v>
      </c>
    </row>
    <row r="1014" spans="1:9" x14ac:dyDescent="0.55000000000000004">
      <c r="A1014" s="10" t="s">
        <v>43</v>
      </c>
      <c r="B1014" s="9">
        <v>51</v>
      </c>
      <c r="C1014" s="9">
        <v>63</v>
      </c>
      <c r="D1014" s="21" t="s">
        <v>37</v>
      </c>
      <c r="E1014" s="12">
        <v>4</v>
      </c>
      <c r="F1014" s="9" t="s">
        <v>35</v>
      </c>
      <c r="G1014" s="9"/>
      <c r="H1014" s="12"/>
    </row>
    <row r="1015" spans="1:9" x14ac:dyDescent="0.55000000000000004">
      <c r="A1015" s="10" t="s">
        <v>47</v>
      </c>
      <c r="B1015" s="9">
        <v>50</v>
      </c>
      <c r="C1015" s="9">
        <v>65</v>
      </c>
      <c r="D1015" s="21" t="s">
        <v>37</v>
      </c>
      <c r="E1015" s="9">
        <v>4</v>
      </c>
      <c r="F1015" s="9" t="s">
        <v>36</v>
      </c>
      <c r="G1015" s="9"/>
      <c r="H1015" s="9"/>
    </row>
    <row r="1016" spans="1:9" x14ac:dyDescent="0.55000000000000004">
      <c r="A1016" s="10" t="s">
        <v>48</v>
      </c>
      <c r="B1016" s="9">
        <v>53</v>
      </c>
      <c r="C1016" s="9">
        <v>64</v>
      </c>
      <c r="D1016" s="21" t="s">
        <v>37</v>
      </c>
      <c r="E1016" s="9">
        <v>4</v>
      </c>
      <c r="F1016" s="9" t="s">
        <v>36</v>
      </c>
      <c r="G1016" s="9"/>
      <c r="H1016" s="9"/>
    </row>
    <row r="1017" spans="1:9" x14ac:dyDescent="0.55000000000000004">
      <c r="A1017" s="10" t="s">
        <v>49</v>
      </c>
      <c r="B1017" s="9">
        <v>50</v>
      </c>
      <c r="C1017" s="9">
        <v>65</v>
      </c>
      <c r="D1017" s="21" t="s">
        <v>37</v>
      </c>
      <c r="E1017" s="9">
        <v>4</v>
      </c>
      <c r="F1017" s="9" t="s">
        <v>36</v>
      </c>
      <c r="G1017" s="9"/>
      <c r="H1017" s="9"/>
    </row>
    <row r="1018" spans="1:9" ht="14.7" thickBot="1" x14ac:dyDescent="0.6">
      <c r="A1018" s="13" t="s">
        <v>50</v>
      </c>
      <c r="B1018" s="14">
        <v>50</v>
      </c>
      <c r="C1018" s="14">
        <v>64</v>
      </c>
      <c r="D1018" s="23" t="s">
        <v>37</v>
      </c>
      <c r="E1018" s="14">
        <v>4</v>
      </c>
      <c r="F1018" s="14" t="s">
        <v>36</v>
      </c>
      <c r="G1018" s="14">
        <v>521</v>
      </c>
      <c r="H1018" s="14">
        <f>Tabla269162573[[#This Row],[Total cluster weight (g)]]/COUNTA(A1014:A1018)</f>
        <v>104.2</v>
      </c>
    </row>
    <row r="1019" spans="1:9" x14ac:dyDescent="0.55000000000000004">
      <c r="A1019" s="10" t="s">
        <v>51</v>
      </c>
      <c r="B1019" s="9">
        <v>44</v>
      </c>
      <c r="C1019" s="9">
        <v>55</v>
      </c>
      <c r="D1019" s="21" t="s">
        <v>37</v>
      </c>
      <c r="E1019" s="12">
        <v>5</v>
      </c>
      <c r="F1019" s="9" t="s">
        <v>35</v>
      </c>
      <c r="G1019" s="9"/>
      <c r="H1019" s="20"/>
    </row>
    <row r="1020" spans="1:9" x14ac:dyDescent="0.55000000000000004">
      <c r="A1020" s="10" t="s">
        <v>52</v>
      </c>
      <c r="B1020" s="9">
        <v>49</v>
      </c>
      <c r="C1020" s="9">
        <v>57</v>
      </c>
      <c r="D1020" s="21" t="s">
        <v>37</v>
      </c>
      <c r="E1020" s="9">
        <v>5</v>
      </c>
      <c r="F1020" s="9" t="s">
        <v>36</v>
      </c>
      <c r="G1020" s="9"/>
      <c r="H1020" s="9"/>
    </row>
    <row r="1021" spans="1:9" x14ac:dyDescent="0.55000000000000004">
      <c r="A1021" s="10" t="s">
        <v>53</v>
      </c>
      <c r="B1021" s="9">
        <v>46</v>
      </c>
      <c r="C1021" s="9">
        <v>56</v>
      </c>
      <c r="D1021" s="21" t="s">
        <v>37</v>
      </c>
      <c r="E1021" s="9">
        <v>5</v>
      </c>
      <c r="F1021" s="9" t="s">
        <v>36</v>
      </c>
      <c r="G1021" s="9"/>
      <c r="H1021" s="9"/>
    </row>
    <row r="1022" spans="1:9" x14ac:dyDescent="0.55000000000000004">
      <c r="A1022" s="10" t="s">
        <v>80</v>
      </c>
      <c r="B1022" s="9">
        <v>50</v>
      </c>
      <c r="C1022" s="9">
        <v>57</v>
      </c>
      <c r="D1022" s="21" t="s">
        <v>37</v>
      </c>
      <c r="E1022" s="9">
        <v>5</v>
      </c>
      <c r="F1022" s="9" t="s">
        <v>36</v>
      </c>
      <c r="G1022" s="9"/>
      <c r="H1022" s="9"/>
    </row>
    <row r="1023" spans="1:9" ht="14.7" thickBot="1" x14ac:dyDescent="0.6">
      <c r="A1023" s="13" t="s">
        <v>81</v>
      </c>
      <c r="B1023" s="14">
        <v>48</v>
      </c>
      <c r="C1023" s="14">
        <v>60</v>
      </c>
      <c r="D1023" s="23" t="s">
        <v>37</v>
      </c>
      <c r="E1023" s="14">
        <v>5</v>
      </c>
      <c r="F1023" s="14" t="s">
        <v>36</v>
      </c>
      <c r="G1023" s="14">
        <v>412.5</v>
      </c>
      <c r="H1023" s="14">
        <f>Tabla269162573[[#This Row],[Total cluster weight (g)]]/COUNTA(A1019:A1023)</f>
        <v>82.5</v>
      </c>
    </row>
    <row r="1024" spans="1:9" x14ac:dyDescent="0.55000000000000004">
      <c r="A1024" s="34" t="s">
        <v>66</v>
      </c>
      <c r="B1024" s="12">
        <v>44</v>
      </c>
      <c r="C1024" s="12">
        <v>56</v>
      </c>
      <c r="D1024" s="28" t="s">
        <v>37</v>
      </c>
      <c r="E1024" s="12">
        <v>6</v>
      </c>
      <c r="F1024" s="12" t="s">
        <v>35</v>
      </c>
      <c r="G1024" s="12"/>
      <c r="H1024" s="12"/>
    </row>
    <row r="1025" spans="1:8" x14ac:dyDescent="0.55000000000000004">
      <c r="A1025" s="10" t="s">
        <v>67</v>
      </c>
      <c r="B1025" s="9">
        <v>46</v>
      </c>
      <c r="C1025" s="9">
        <v>63</v>
      </c>
      <c r="D1025" s="21" t="s">
        <v>37</v>
      </c>
      <c r="E1025" s="9">
        <v>6</v>
      </c>
      <c r="F1025" s="9" t="s">
        <v>36</v>
      </c>
      <c r="G1025" s="9"/>
      <c r="H1025" s="9"/>
    </row>
    <row r="1026" spans="1:8" x14ac:dyDescent="0.55000000000000004">
      <c r="A1026" s="10" t="s">
        <v>71</v>
      </c>
      <c r="B1026" s="9">
        <v>44</v>
      </c>
      <c r="C1026" s="9">
        <v>53</v>
      </c>
      <c r="D1026" s="21" t="s">
        <v>37</v>
      </c>
      <c r="E1026" s="9">
        <v>6</v>
      </c>
      <c r="F1026" s="9" t="s">
        <v>36</v>
      </c>
      <c r="G1026" s="9"/>
      <c r="H1026" s="9"/>
    </row>
    <row r="1027" spans="1:8" x14ac:dyDescent="0.55000000000000004">
      <c r="A1027" s="10" t="s">
        <v>89</v>
      </c>
      <c r="B1027" s="9">
        <v>49</v>
      </c>
      <c r="C1027" s="9">
        <v>56</v>
      </c>
      <c r="D1027" s="21" t="s">
        <v>37</v>
      </c>
      <c r="E1027" s="9">
        <v>6</v>
      </c>
      <c r="F1027" s="9" t="s">
        <v>36</v>
      </c>
      <c r="G1027" s="9"/>
      <c r="H1027" s="9"/>
    </row>
    <row r="1028" spans="1:8" x14ac:dyDescent="0.55000000000000004">
      <c r="A1028" s="10" t="s">
        <v>92</v>
      </c>
      <c r="B1028" s="9">
        <v>48</v>
      </c>
      <c r="C1028" s="9">
        <v>54</v>
      </c>
      <c r="D1028" s="21" t="s">
        <v>37</v>
      </c>
      <c r="E1028" s="9">
        <v>6</v>
      </c>
      <c r="F1028" s="9" t="s">
        <v>36</v>
      </c>
      <c r="G1028" s="9"/>
      <c r="H1028" s="9"/>
    </row>
    <row r="1029" spans="1:8" ht="14.7" thickBot="1" x14ac:dyDescent="0.6">
      <c r="A1029" s="35" t="s">
        <v>93</v>
      </c>
      <c r="B1029" s="14">
        <v>50</v>
      </c>
      <c r="C1029" s="14">
        <v>62</v>
      </c>
      <c r="D1029" s="23" t="s">
        <v>37</v>
      </c>
      <c r="E1029" s="14">
        <v>6</v>
      </c>
      <c r="F1029" s="14" t="s">
        <v>36</v>
      </c>
      <c r="G1029" s="14">
        <v>503.5</v>
      </c>
      <c r="H1029" s="14">
        <f>Tabla269162573[[#This Row],[Total cluster weight (g)]]/COUNTA(A1024:A1029)</f>
        <v>83.916666666666671</v>
      </c>
    </row>
    <row r="1030" spans="1:8" x14ac:dyDescent="0.55000000000000004">
      <c r="A1030" s="34" t="s">
        <v>94</v>
      </c>
      <c r="B1030" s="12">
        <v>47</v>
      </c>
      <c r="C1030" s="12">
        <v>57</v>
      </c>
      <c r="D1030" s="28" t="s">
        <v>37</v>
      </c>
      <c r="E1030" s="12">
        <v>7</v>
      </c>
      <c r="F1030" s="12" t="s">
        <v>36</v>
      </c>
      <c r="G1030" s="12"/>
      <c r="H1030" s="12"/>
    </row>
    <row r="1031" spans="1:8" x14ac:dyDescent="0.55000000000000004">
      <c r="A1031" s="10" t="s">
        <v>95</v>
      </c>
      <c r="B1031" s="9">
        <v>48</v>
      </c>
      <c r="C1031" s="9">
        <v>61</v>
      </c>
      <c r="D1031" s="21" t="s">
        <v>37</v>
      </c>
      <c r="E1031" s="9">
        <v>7</v>
      </c>
      <c r="F1031" s="9" t="s">
        <v>36</v>
      </c>
      <c r="G1031" s="9"/>
      <c r="H1031" s="9"/>
    </row>
    <row r="1032" spans="1:8" x14ac:dyDescent="0.55000000000000004">
      <c r="A1032" s="10" t="s">
        <v>144</v>
      </c>
      <c r="B1032" s="9">
        <v>50</v>
      </c>
      <c r="C1032" s="9">
        <v>66</v>
      </c>
      <c r="D1032" s="21" t="s">
        <v>37</v>
      </c>
      <c r="E1032" s="9">
        <v>7</v>
      </c>
      <c r="F1032" s="9" t="s">
        <v>36</v>
      </c>
      <c r="G1032" s="9"/>
      <c r="H1032" s="9"/>
    </row>
    <row r="1033" spans="1:8" x14ac:dyDescent="0.55000000000000004">
      <c r="A1033" s="10" t="s">
        <v>150</v>
      </c>
      <c r="B1033" s="9">
        <v>50</v>
      </c>
      <c r="C1033" s="9">
        <v>60</v>
      </c>
      <c r="D1033" s="21" t="s">
        <v>37</v>
      </c>
      <c r="E1033" s="9">
        <v>7</v>
      </c>
      <c r="F1033" s="9" t="s">
        <v>36</v>
      </c>
      <c r="G1033" s="9"/>
      <c r="H1033" s="9"/>
    </row>
    <row r="1034" spans="1:8" ht="14.7" thickBot="1" x14ac:dyDescent="0.6">
      <c r="A1034" s="35" t="s">
        <v>151</v>
      </c>
      <c r="B1034" s="14">
        <v>51</v>
      </c>
      <c r="C1034" s="14">
        <v>67</v>
      </c>
      <c r="D1034" s="23" t="s">
        <v>37</v>
      </c>
      <c r="E1034" s="14">
        <v>7</v>
      </c>
      <c r="F1034" s="14" t="s">
        <v>36</v>
      </c>
      <c r="G1034" s="14">
        <v>503.5</v>
      </c>
      <c r="H1034" s="14">
        <f>Tabla269162573[[#This Row],[Total cluster weight (g)]]/COUNTA(A1030:A1034)</f>
        <v>100.7</v>
      </c>
    </row>
    <row r="1035" spans="1:8" x14ac:dyDescent="0.55000000000000004">
      <c r="A1035" s="34" t="s">
        <v>152</v>
      </c>
      <c r="B1035" s="12">
        <v>51</v>
      </c>
      <c r="C1035" s="12">
        <v>62</v>
      </c>
      <c r="D1035" s="28" t="s">
        <v>37</v>
      </c>
      <c r="E1035" s="12">
        <v>8</v>
      </c>
      <c r="F1035" s="12" t="s">
        <v>36</v>
      </c>
      <c r="G1035" s="12"/>
      <c r="H1035" s="12"/>
    </row>
    <row r="1036" spans="1:8" x14ac:dyDescent="0.55000000000000004">
      <c r="A1036" s="10" t="s">
        <v>153</v>
      </c>
      <c r="B1036" s="9">
        <v>52</v>
      </c>
      <c r="C1036" s="9">
        <v>64</v>
      </c>
      <c r="D1036" s="21" t="s">
        <v>37</v>
      </c>
      <c r="E1036" s="9">
        <v>8</v>
      </c>
      <c r="F1036" s="9" t="s">
        <v>36</v>
      </c>
      <c r="G1036" s="9"/>
      <c r="H1036" s="9"/>
    </row>
    <row r="1037" spans="1:8" x14ac:dyDescent="0.55000000000000004">
      <c r="A1037" s="10" t="s">
        <v>158</v>
      </c>
      <c r="B1037" s="9">
        <v>51</v>
      </c>
      <c r="C1037" s="9">
        <v>67</v>
      </c>
      <c r="D1037" s="21" t="s">
        <v>37</v>
      </c>
      <c r="E1037" s="9">
        <v>8</v>
      </c>
      <c r="F1037" s="9" t="s">
        <v>36</v>
      </c>
      <c r="G1037" s="9"/>
      <c r="H1037" s="9"/>
    </row>
    <row r="1038" spans="1:8" x14ac:dyDescent="0.55000000000000004">
      <c r="A1038" s="10" t="s">
        <v>215</v>
      </c>
      <c r="B1038" s="9">
        <v>51</v>
      </c>
      <c r="C1038" s="9">
        <v>59</v>
      </c>
      <c r="D1038" s="21" t="s">
        <v>37</v>
      </c>
      <c r="E1038" s="9">
        <v>8</v>
      </c>
      <c r="F1038" s="9" t="s">
        <v>36</v>
      </c>
      <c r="G1038" s="9"/>
      <c r="H1038" s="9"/>
    </row>
    <row r="1039" spans="1:8" ht="14.7" thickBot="1" x14ac:dyDescent="0.6">
      <c r="A1039" s="35" t="s">
        <v>216</v>
      </c>
      <c r="B1039" s="14">
        <v>54</v>
      </c>
      <c r="C1039" s="14">
        <v>64</v>
      </c>
      <c r="D1039" s="23" t="s">
        <v>37</v>
      </c>
      <c r="E1039" s="14">
        <v>8</v>
      </c>
      <c r="F1039" s="14" t="s">
        <v>36</v>
      </c>
      <c r="G1039" s="14">
        <v>549</v>
      </c>
      <c r="H1039" s="14">
        <f>Tabla269162573[[#This Row],[Total cluster weight (g)]]/COUNTA(A1035:A1039)</f>
        <v>109.8</v>
      </c>
    </row>
    <row r="1040" spans="1:8" x14ac:dyDescent="0.55000000000000004">
      <c r="A1040" s="10" t="s">
        <v>217</v>
      </c>
      <c r="B1040" s="9">
        <v>49</v>
      </c>
      <c r="C1040" s="9">
        <v>58</v>
      </c>
      <c r="D1040" s="9" t="s">
        <v>37</v>
      </c>
      <c r="E1040" s="9">
        <v>9</v>
      </c>
      <c r="F1040" s="20" t="s">
        <v>36</v>
      </c>
      <c r="G1040" s="20"/>
      <c r="H1040" s="20"/>
    </row>
    <row r="1041" spans="1:8" x14ac:dyDescent="0.55000000000000004">
      <c r="A1041" s="10" t="s">
        <v>218</v>
      </c>
      <c r="B1041" s="9">
        <v>51</v>
      </c>
      <c r="C1041" s="9">
        <v>60</v>
      </c>
      <c r="D1041" s="9" t="s">
        <v>37</v>
      </c>
      <c r="E1041" s="9">
        <v>9</v>
      </c>
      <c r="F1041" s="9" t="s">
        <v>36</v>
      </c>
      <c r="G1041" s="9"/>
      <c r="H1041" s="9"/>
    </row>
    <row r="1042" spans="1:8" x14ac:dyDescent="0.55000000000000004">
      <c r="A1042" s="10" t="s">
        <v>219</v>
      </c>
      <c r="B1042" s="9">
        <v>50</v>
      </c>
      <c r="C1042" s="9">
        <v>60</v>
      </c>
      <c r="D1042" s="9" t="s">
        <v>37</v>
      </c>
      <c r="E1042" s="9">
        <v>9</v>
      </c>
      <c r="F1042" s="9" t="s">
        <v>36</v>
      </c>
      <c r="G1042" s="9"/>
      <c r="H1042" s="9"/>
    </row>
    <row r="1043" spans="1:8" x14ac:dyDescent="0.55000000000000004">
      <c r="A1043" s="10" t="s">
        <v>222</v>
      </c>
      <c r="B1043" s="9">
        <v>52</v>
      </c>
      <c r="C1043" s="9">
        <v>60</v>
      </c>
      <c r="D1043" s="9" t="s">
        <v>37</v>
      </c>
      <c r="E1043" s="9">
        <v>9</v>
      </c>
      <c r="F1043" s="9" t="s">
        <v>36</v>
      </c>
      <c r="G1043" s="9"/>
      <c r="H1043" s="9"/>
    </row>
    <row r="1044" spans="1:8" ht="14.7" thickBot="1" x14ac:dyDescent="0.6">
      <c r="A1044" s="13" t="s">
        <v>223</v>
      </c>
      <c r="B1044" s="14">
        <v>49</v>
      </c>
      <c r="C1044" s="14">
        <v>57</v>
      </c>
      <c r="D1044" s="14" t="s">
        <v>37</v>
      </c>
      <c r="E1044" s="14">
        <v>9</v>
      </c>
      <c r="F1044" s="14" t="s">
        <v>36</v>
      </c>
      <c r="G1044" s="14">
        <v>482.5</v>
      </c>
      <c r="H1044" s="14">
        <f>Tabla269162573[[#This Row],[Total cluster weight (g)]]/COUNTA(A1040:A1044)</f>
        <v>96.5</v>
      </c>
    </row>
    <row r="1046" spans="1:8" x14ac:dyDescent="0.55000000000000004">
      <c r="A1046" s="59" t="s">
        <v>168</v>
      </c>
      <c r="B1046" s="55" t="s">
        <v>162</v>
      </c>
      <c r="C1046" s="55" t="s">
        <v>163</v>
      </c>
      <c r="D1046" s="55" t="s">
        <v>164</v>
      </c>
      <c r="E1046" s="55" t="s">
        <v>165</v>
      </c>
      <c r="F1046" s="56" t="s">
        <v>189</v>
      </c>
      <c r="G1046" s="110" t="s">
        <v>230</v>
      </c>
    </row>
    <row r="1047" spans="1:8" x14ac:dyDescent="0.55000000000000004">
      <c r="A1047" s="60" t="s">
        <v>166</v>
      </c>
      <c r="B1047" s="57">
        <f>AVERAGE(Tabla269162573[Height (mm)])</f>
        <v>49</v>
      </c>
      <c r="C1047" s="57">
        <f>AVERAGE(Tabla269162573[Width (mm)])</f>
        <v>60.368421052631582</v>
      </c>
      <c r="D1047" s="57">
        <f>MAX(Tabla269162573[[Cluster number ]])</f>
        <v>9</v>
      </c>
      <c r="E1047" s="57">
        <f>AVERAGE(Tabla269162573[Tomato average weight per cluster])</f>
        <v>98.635185185185193</v>
      </c>
      <c r="F1047" s="58">
        <f>COUNTA(Tabla269162573["C22" PLANT])</f>
        <v>38</v>
      </c>
      <c r="G1047" s="109">
        <f>SUM(Tabla269162573[Total cluster weight (g)])</f>
        <v>3650.5</v>
      </c>
    </row>
  </sheetData>
  <pageMargins left="0.7" right="0.7" top="0.75" bottom="0.75" header="0.3" footer="0.3"/>
  <pageSetup paperSize="9" orientation="portrait" horizontalDpi="300" verticalDpi="300" r:id="rId1"/>
  <tableParts count="4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28"/>
  <sheetViews>
    <sheetView tabSelected="1" zoomScale="80" zoomScaleNormal="80" workbookViewId="0">
      <selection activeCell="H954" sqref="H954"/>
    </sheetView>
  </sheetViews>
  <sheetFormatPr defaultColWidth="9.15625" defaultRowHeight="14.4" x14ac:dyDescent="0.55000000000000004"/>
  <cols>
    <col min="1" max="1" width="27.41796875" customWidth="1"/>
    <col min="2" max="2" width="22.83984375" customWidth="1"/>
    <col min="3" max="3" width="20.41796875" customWidth="1"/>
    <col min="4" max="4" width="23.26171875" customWidth="1"/>
    <col min="5" max="5" width="34.15625" customWidth="1"/>
    <col min="6" max="6" width="26.41796875" customWidth="1"/>
    <col min="7" max="7" width="23.68359375" customWidth="1"/>
    <col min="8" max="8" width="34.15625" customWidth="1"/>
    <col min="9" max="9" width="16.41796875" customWidth="1"/>
  </cols>
  <sheetData>
    <row r="1" spans="1:9" ht="25.8" x14ac:dyDescent="0.95">
      <c r="A1" s="1" t="s">
        <v>100</v>
      </c>
    </row>
    <row r="3" spans="1:9" ht="20.399999999999999" x14ac:dyDescent="0.75">
      <c r="A3" s="71" t="s">
        <v>1</v>
      </c>
    </row>
    <row r="5" spans="1:9" ht="14.7" thickBot="1" x14ac:dyDescent="0.6">
      <c r="A5" s="5" t="s">
        <v>101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161</v>
      </c>
    </row>
    <row r="6" spans="1:9" x14ac:dyDescent="0.55000000000000004">
      <c r="A6" s="6" t="s">
        <v>9</v>
      </c>
      <c r="B6" s="7">
        <v>49</v>
      </c>
      <c r="C6" s="7">
        <v>55</v>
      </c>
      <c r="D6" s="21" t="s">
        <v>37</v>
      </c>
      <c r="E6" s="9">
        <v>1</v>
      </c>
      <c r="F6" s="9" t="s">
        <v>35</v>
      </c>
      <c r="G6" s="9"/>
      <c r="H6" s="12"/>
    </row>
    <row r="7" spans="1:9" x14ac:dyDescent="0.55000000000000004">
      <c r="A7" s="8" t="s">
        <v>10</v>
      </c>
      <c r="B7" s="9">
        <v>43</v>
      </c>
      <c r="C7" s="9">
        <v>54</v>
      </c>
      <c r="D7" s="21" t="s">
        <v>37</v>
      </c>
      <c r="E7" s="9">
        <v>1</v>
      </c>
      <c r="F7" s="9" t="s">
        <v>36</v>
      </c>
      <c r="G7" s="9"/>
      <c r="H7" s="9"/>
    </row>
    <row r="8" spans="1:9" x14ac:dyDescent="0.55000000000000004">
      <c r="A8" s="10" t="s">
        <v>11</v>
      </c>
      <c r="B8" s="9">
        <v>51</v>
      </c>
      <c r="C8" s="9">
        <v>65</v>
      </c>
      <c r="D8" s="21" t="s">
        <v>37</v>
      </c>
      <c r="E8" s="9">
        <v>1</v>
      </c>
      <c r="F8" s="9" t="s">
        <v>36</v>
      </c>
      <c r="G8" s="9"/>
      <c r="H8" s="9"/>
    </row>
    <row r="9" spans="1:9" x14ac:dyDescent="0.55000000000000004">
      <c r="A9" s="11" t="s">
        <v>12</v>
      </c>
      <c r="B9" s="9">
        <v>44</v>
      </c>
      <c r="C9" s="9">
        <v>56</v>
      </c>
      <c r="D9" s="21" t="s">
        <v>37</v>
      </c>
      <c r="E9" s="9">
        <v>1</v>
      </c>
      <c r="F9" s="9" t="s">
        <v>36</v>
      </c>
      <c r="G9" s="9"/>
      <c r="H9" s="9"/>
    </row>
    <row r="10" spans="1:9" ht="14.7" thickBot="1" x14ac:dyDescent="0.6">
      <c r="A10" s="13" t="s">
        <v>13</v>
      </c>
      <c r="B10" s="14">
        <v>48</v>
      </c>
      <c r="C10" s="14">
        <v>63</v>
      </c>
      <c r="D10" s="23" t="s">
        <v>37</v>
      </c>
      <c r="E10" s="14">
        <v>1</v>
      </c>
      <c r="F10" s="14" t="s">
        <v>36</v>
      </c>
      <c r="G10" s="14">
        <v>477</v>
      </c>
      <c r="H10" s="14">
        <f>Tabla269[[#This Row],[Total cluster weight (g)]]/COUNTA(A6:A10)</f>
        <v>95.4</v>
      </c>
    </row>
    <row r="11" spans="1:9" x14ac:dyDescent="0.55000000000000004">
      <c r="A11" s="6" t="s">
        <v>41</v>
      </c>
      <c r="B11" s="9">
        <v>52</v>
      </c>
      <c r="C11" s="9">
        <v>61</v>
      </c>
      <c r="D11" s="21" t="s">
        <v>37</v>
      </c>
      <c r="E11" s="9">
        <v>2</v>
      </c>
      <c r="F11" s="9" t="s">
        <v>35</v>
      </c>
      <c r="G11" s="9"/>
      <c r="H11" s="12"/>
    </row>
    <row r="12" spans="1:9" x14ac:dyDescent="0.55000000000000004">
      <c r="A12" s="8" t="s">
        <v>42</v>
      </c>
      <c r="B12" s="9">
        <v>51</v>
      </c>
      <c r="C12" s="9">
        <v>65</v>
      </c>
      <c r="D12" s="21" t="s">
        <v>37</v>
      </c>
      <c r="E12" s="9">
        <v>2</v>
      </c>
      <c r="F12" s="9" t="s">
        <v>36</v>
      </c>
      <c r="G12" s="9"/>
      <c r="H12" s="9"/>
    </row>
    <row r="13" spans="1:9" x14ac:dyDescent="0.55000000000000004">
      <c r="A13" s="32" t="s">
        <v>43</v>
      </c>
      <c r="B13" s="9">
        <v>54</v>
      </c>
      <c r="C13" s="9">
        <v>68</v>
      </c>
      <c r="D13" s="21" t="s">
        <v>37</v>
      </c>
      <c r="E13" s="9">
        <v>2</v>
      </c>
      <c r="F13" s="9" t="s">
        <v>36</v>
      </c>
      <c r="G13" s="9"/>
      <c r="H13" s="9"/>
    </row>
    <row r="14" spans="1:9" x14ac:dyDescent="0.55000000000000004">
      <c r="A14" s="10" t="s">
        <v>47</v>
      </c>
      <c r="B14" s="9">
        <v>53</v>
      </c>
      <c r="C14" s="9">
        <v>68</v>
      </c>
      <c r="D14" s="21" t="s">
        <v>37</v>
      </c>
      <c r="E14" s="9">
        <v>2</v>
      </c>
      <c r="F14" s="9" t="s">
        <v>36</v>
      </c>
      <c r="G14" s="9"/>
      <c r="H14" s="9"/>
    </row>
    <row r="15" spans="1:9" ht="14.7" thickBot="1" x14ac:dyDescent="0.6">
      <c r="A15" s="13" t="s">
        <v>45</v>
      </c>
      <c r="B15" s="14">
        <v>47</v>
      </c>
      <c r="C15" s="14">
        <v>63</v>
      </c>
      <c r="D15" s="23">
        <v>101</v>
      </c>
      <c r="E15" s="14">
        <v>2</v>
      </c>
      <c r="F15" s="14" t="s">
        <v>36</v>
      </c>
      <c r="G15" s="14">
        <v>592</v>
      </c>
      <c r="H15" s="14">
        <f>Tabla269[[#This Row],[Total cluster weight (g)]]/COUNTA(A11:A15)</f>
        <v>118.4</v>
      </c>
      <c r="I15" t="s">
        <v>38</v>
      </c>
    </row>
    <row r="16" spans="1:9" x14ac:dyDescent="0.55000000000000004">
      <c r="A16" s="6" t="s">
        <v>126</v>
      </c>
      <c r="B16" s="9">
        <v>53</v>
      </c>
      <c r="C16" s="9">
        <v>69</v>
      </c>
      <c r="D16" s="21" t="s">
        <v>37</v>
      </c>
      <c r="E16" s="9">
        <v>3</v>
      </c>
      <c r="F16" s="9" t="s">
        <v>35</v>
      </c>
      <c r="G16" s="9"/>
      <c r="H16" s="12"/>
      <c r="I16" t="s">
        <v>56</v>
      </c>
    </row>
    <row r="17" spans="1:8" x14ac:dyDescent="0.55000000000000004">
      <c r="A17" s="10" t="s">
        <v>127</v>
      </c>
      <c r="B17" s="9">
        <v>52</v>
      </c>
      <c r="C17" s="9">
        <v>65</v>
      </c>
      <c r="D17" s="21" t="s">
        <v>37</v>
      </c>
      <c r="E17" s="9">
        <v>3</v>
      </c>
      <c r="F17" s="9" t="s">
        <v>35</v>
      </c>
      <c r="G17" s="9"/>
      <c r="H17" s="9"/>
    </row>
    <row r="18" spans="1:8" x14ac:dyDescent="0.55000000000000004">
      <c r="A18" s="10" t="s">
        <v>128</v>
      </c>
      <c r="B18" s="9">
        <v>50</v>
      </c>
      <c r="C18" s="9">
        <v>62</v>
      </c>
      <c r="D18" s="21" t="s">
        <v>37</v>
      </c>
      <c r="E18" s="9">
        <v>3</v>
      </c>
      <c r="F18" s="9" t="s">
        <v>36</v>
      </c>
      <c r="G18" s="9"/>
      <c r="H18" s="9"/>
    </row>
    <row r="19" spans="1:8" ht="14.7" thickBot="1" x14ac:dyDescent="0.6">
      <c r="A19" s="35" t="s">
        <v>129</v>
      </c>
      <c r="B19" s="14">
        <v>52</v>
      </c>
      <c r="C19" s="14">
        <v>69</v>
      </c>
      <c r="D19" s="23" t="s">
        <v>37</v>
      </c>
      <c r="E19" s="14">
        <v>3</v>
      </c>
      <c r="F19" s="14" t="s">
        <v>36</v>
      </c>
      <c r="G19" s="14">
        <v>500</v>
      </c>
      <c r="H19" s="14">
        <f>Tabla269[[#This Row],[Total cluster weight (g)]]/COUNTA(A16:A19)</f>
        <v>125</v>
      </c>
    </row>
    <row r="20" spans="1:8" x14ac:dyDescent="0.55000000000000004">
      <c r="A20" s="11" t="s">
        <v>53</v>
      </c>
      <c r="B20" s="12">
        <v>52</v>
      </c>
      <c r="C20" s="12">
        <v>65</v>
      </c>
      <c r="D20" s="28" t="s">
        <v>37</v>
      </c>
      <c r="E20" s="12">
        <v>4</v>
      </c>
      <c r="F20" s="12" t="s">
        <v>35</v>
      </c>
      <c r="G20" s="12"/>
      <c r="H20" s="12"/>
    </row>
    <row r="21" spans="1:8" x14ac:dyDescent="0.55000000000000004">
      <c r="A21" s="8" t="s">
        <v>80</v>
      </c>
      <c r="B21" s="9">
        <v>54</v>
      </c>
      <c r="C21" s="9">
        <v>68</v>
      </c>
      <c r="D21" s="21" t="s">
        <v>37</v>
      </c>
      <c r="E21" s="9">
        <v>4</v>
      </c>
      <c r="F21" s="9" t="s">
        <v>36</v>
      </c>
      <c r="G21" s="9"/>
      <c r="H21" s="9"/>
    </row>
    <row r="22" spans="1:8" x14ac:dyDescent="0.55000000000000004">
      <c r="A22" s="10" t="s">
        <v>81</v>
      </c>
      <c r="B22" s="9">
        <v>53</v>
      </c>
      <c r="C22" s="9">
        <v>69</v>
      </c>
      <c r="D22" s="21" t="s">
        <v>37</v>
      </c>
      <c r="E22" s="9">
        <v>4</v>
      </c>
      <c r="F22" s="9" t="s">
        <v>36</v>
      </c>
      <c r="G22" s="9"/>
      <c r="H22" s="9"/>
    </row>
    <row r="23" spans="1:8" ht="14.7" thickBot="1" x14ac:dyDescent="0.6">
      <c r="A23" s="13" t="s">
        <v>66</v>
      </c>
      <c r="B23" s="14">
        <v>53</v>
      </c>
      <c r="C23" s="14">
        <v>67</v>
      </c>
      <c r="D23" s="23" t="s">
        <v>37</v>
      </c>
      <c r="E23" s="14">
        <v>4</v>
      </c>
      <c r="F23" s="14" t="s">
        <v>36</v>
      </c>
      <c r="G23" s="14">
        <v>527</v>
      </c>
      <c r="H23" s="14">
        <f>Tabla269[[#This Row],[Total cluster weight (g)]]/COUNTA(A20:A23)</f>
        <v>131.75</v>
      </c>
    </row>
    <row r="24" spans="1:8" x14ac:dyDescent="0.55000000000000004">
      <c r="A24" s="29" t="s">
        <v>67</v>
      </c>
      <c r="B24" s="9">
        <v>50</v>
      </c>
      <c r="C24" s="9">
        <v>64</v>
      </c>
      <c r="D24" s="21" t="s">
        <v>37</v>
      </c>
      <c r="E24" s="9">
        <v>5</v>
      </c>
      <c r="F24" s="9" t="s">
        <v>35</v>
      </c>
      <c r="G24" s="9"/>
      <c r="H24" s="88"/>
    </row>
    <row r="25" spans="1:8" x14ac:dyDescent="0.55000000000000004">
      <c r="A25" s="29" t="s">
        <v>71</v>
      </c>
      <c r="B25" s="9">
        <v>50</v>
      </c>
      <c r="C25" s="9">
        <v>62</v>
      </c>
      <c r="D25" s="21" t="s">
        <v>37</v>
      </c>
      <c r="E25" s="9">
        <v>5</v>
      </c>
      <c r="F25" s="9" t="s">
        <v>35</v>
      </c>
      <c r="G25" s="9"/>
      <c r="H25" s="88"/>
    </row>
    <row r="26" spans="1:8" x14ac:dyDescent="0.55000000000000004">
      <c r="A26" s="29" t="s">
        <v>89</v>
      </c>
      <c r="B26" s="9">
        <v>51</v>
      </c>
      <c r="C26" s="9">
        <v>68</v>
      </c>
      <c r="D26" s="21" t="s">
        <v>37</v>
      </c>
      <c r="E26" s="9">
        <v>5</v>
      </c>
      <c r="F26" s="9" t="s">
        <v>36</v>
      </c>
      <c r="G26" s="9"/>
      <c r="H26" s="88"/>
    </row>
    <row r="27" spans="1:8" x14ac:dyDescent="0.55000000000000004">
      <c r="A27" s="29" t="s">
        <v>92</v>
      </c>
      <c r="B27" s="9">
        <v>49</v>
      </c>
      <c r="C27" s="9">
        <v>66</v>
      </c>
      <c r="D27" s="21" t="s">
        <v>37</v>
      </c>
      <c r="E27" s="9">
        <v>5</v>
      </c>
      <c r="F27" s="9" t="s">
        <v>36</v>
      </c>
      <c r="G27" s="9"/>
      <c r="H27" s="88"/>
    </row>
    <row r="28" spans="1:8" ht="14.7" thickBot="1" x14ac:dyDescent="0.6">
      <c r="A28" s="91" t="s">
        <v>93</v>
      </c>
      <c r="B28" s="14">
        <v>54</v>
      </c>
      <c r="C28" s="14">
        <v>67</v>
      </c>
      <c r="D28" s="23" t="s">
        <v>37</v>
      </c>
      <c r="E28" s="14">
        <v>5</v>
      </c>
      <c r="F28" s="14" t="s">
        <v>36</v>
      </c>
      <c r="G28" s="14">
        <v>609.5</v>
      </c>
      <c r="H28" s="14">
        <f>Tabla269[[#This Row],[Total cluster weight (g)]]/COUNTA(A24:A28)</f>
        <v>121.9</v>
      </c>
    </row>
    <row r="29" spans="1:8" x14ac:dyDescent="0.55000000000000004">
      <c r="A29" s="29" t="s">
        <v>94</v>
      </c>
      <c r="B29" s="9">
        <v>45</v>
      </c>
      <c r="C29" s="9">
        <v>58</v>
      </c>
      <c r="D29" s="21" t="s">
        <v>37</v>
      </c>
      <c r="E29" s="9">
        <v>6</v>
      </c>
      <c r="F29" s="9" t="s">
        <v>60</v>
      </c>
      <c r="G29" s="9"/>
      <c r="H29" s="88"/>
    </row>
    <row r="30" spans="1:8" x14ac:dyDescent="0.55000000000000004">
      <c r="A30" s="29" t="s">
        <v>95</v>
      </c>
      <c r="B30" s="9">
        <v>49</v>
      </c>
      <c r="C30" s="9">
        <v>63</v>
      </c>
      <c r="D30" s="21" t="s">
        <v>37</v>
      </c>
      <c r="E30" s="9">
        <v>6</v>
      </c>
      <c r="F30" s="9" t="s">
        <v>35</v>
      </c>
      <c r="G30" s="9"/>
      <c r="H30" s="88"/>
    </row>
    <row r="31" spans="1:8" x14ac:dyDescent="0.55000000000000004">
      <c r="A31" s="29" t="s">
        <v>144</v>
      </c>
      <c r="B31" s="9">
        <v>53</v>
      </c>
      <c r="C31" s="9">
        <v>64</v>
      </c>
      <c r="D31" s="21" t="s">
        <v>37</v>
      </c>
      <c r="E31" s="9">
        <v>6</v>
      </c>
      <c r="F31" s="9" t="s">
        <v>36</v>
      </c>
      <c r="G31" s="9"/>
      <c r="H31" s="88"/>
    </row>
    <row r="32" spans="1:8" x14ac:dyDescent="0.55000000000000004">
      <c r="A32" s="29" t="s">
        <v>150</v>
      </c>
      <c r="B32" s="9">
        <v>52</v>
      </c>
      <c r="C32" s="9">
        <v>66</v>
      </c>
      <c r="D32" s="21" t="s">
        <v>37</v>
      </c>
      <c r="E32" s="9">
        <v>6</v>
      </c>
      <c r="F32" s="9" t="s">
        <v>36</v>
      </c>
      <c r="G32" s="9"/>
      <c r="H32" s="88"/>
    </row>
    <row r="33" spans="1:9" ht="14.7" thickBot="1" x14ac:dyDescent="0.6">
      <c r="A33" s="91" t="s">
        <v>151</v>
      </c>
      <c r="B33" s="14">
        <v>53</v>
      </c>
      <c r="C33" s="14">
        <v>66</v>
      </c>
      <c r="D33" s="23" t="s">
        <v>37</v>
      </c>
      <c r="E33" s="14">
        <v>6</v>
      </c>
      <c r="F33" s="14" t="s">
        <v>36</v>
      </c>
      <c r="G33" s="14">
        <v>565.5</v>
      </c>
      <c r="H33" s="102">
        <f>Tabla269[[#This Row],[Total cluster weight (g)]]/COUNTA(A29:A33)</f>
        <v>113.1</v>
      </c>
    </row>
    <row r="34" spans="1:9" x14ac:dyDescent="0.55000000000000004">
      <c r="A34" s="29" t="s">
        <v>152</v>
      </c>
      <c r="B34" s="9">
        <v>40</v>
      </c>
      <c r="C34" s="9">
        <v>50</v>
      </c>
      <c r="D34" s="21" t="s">
        <v>37</v>
      </c>
      <c r="E34" s="9">
        <v>7</v>
      </c>
      <c r="F34" s="9" t="s">
        <v>36</v>
      </c>
      <c r="G34" s="9"/>
      <c r="H34" s="88"/>
    </row>
    <row r="35" spans="1:9" x14ac:dyDescent="0.55000000000000004">
      <c r="A35" s="29" t="s">
        <v>153</v>
      </c>
      <c r="B35" s="9">
        <v>49</v>
      </c>
      <c r="C35" s="9">
        <v>64</v>
      </c>
      <c r="D35" s="21" t="s">
        <v>37</v>
      </c>
      <c r="E35" s="9">
        <v>7</v>
      </c>
      <c r="F35" s="9" t="s">
        <v>36</v>
      </c>
      <c r="G35" s="9"/>
      <c r="H35" s="88"/>
    </row>
    <row r="36" spans="1:9" x14ac:dyDescent="0.55000000000000004">
      <c r="A36" s="29" t="s">
        <v>158</v>
      </c>
      <c r="B36" s="9">
        <v>50</v>
      </c>
      <c r="C36" s="9">
        <v>64</v>
      </c>
      <c r="D36" s="21" t="s">
        <v>37</v>
      </c>
      <c r="E36" s="9">
        <v>7</v>
      </c>
      <c r="F36" s="9" t="s">
        <v>36</v>
      </c>
      <c r="G36" s="9"/>
      <c r="H36" s="88"/>
    </row>
    <row r="37" spans="1:9" ht="14.7" thickBot="1" x14ac:dyDescent="0.6">
      <c r="A37" s="91" t="s">
        <v>215</v>
      </c>
      <c r="B37" s="14">
        <v>49</v>
      </c>
      <c r="C37" s="14">
        <v>57</v>
      </c>
      <c r="D37" s="23" t="s">
        <v>37</v>
      </c>
      <c r="E37" s="14">
        <v>7</v>
      </c>
      <c r="F37" s="14" t="s">
        <v>36</v>
      </c>
      <c r="G37" s="14">
        <v>368.5</v>
      </c>
      <c r="H37" s="102">
        <f>Tabla269[[#This Row],[Total cluster weight (g)]]/COUNTA(A34:A37)</f>
        <v>92.125</v>
      </c>
    </row>
    <row r="38" spans="1:9" x14ac:dyDescent="0.55000000000000004">
      <c r="A38" s="29" t="s">
        <v>216</v>
      </c>
      <c r="B38" s="9">
        <v>51</v>
      </c>
      <c r="C38" s="9">
        <v>60</v>
      </c>
      <c r="D38" s="21" t="s">
        <v>37</v>
      </c>
      <c r="E38" s="9">
        <v>8</v>
      </c>
      <c r="F38" s="9" t="s">
        <v>35</v>
      </c>
      <c r="G38" s="9"/>
      <c r="H38" s="88"/>
    </row>
    <row r="39" spans="1:9" x14ac:dyDescent="0.55000000000000004">
      <c r="A39" s="29" t="s">
        <v>217</v>
      </c>
      <c r="B39" s="9">
        <v>52</v>
      </c>
      <c r="C39" s="9">
        <v>66</v>
      </c>
      <c r="D39" s="21" t="s">
        <v>37</v>
      </c>
      <c r="E39" s="9">
        <v>8</v>
      </c>
      <c r="F39" s="9" t="s">
        <v>36</v>
      </c>
      <c r="G39" s="9"/>
      <c r="H39" s="88"/>
    </row>
    <row r="40" spans="1:9" ht="14.7" thickBot="1" x14ac:dyDescent="0.6">
      <c r="A40" s="91" t="s">
        <v>218</v>
      </c>
      <c r="B40" s="14">
        <v>53</v>
      </c>
      <c r="C40" s="14">
        <v>68</v>
      </c>
      <c r="D40" s="23" t="s">
        <v>37</v>
      </c>
      <c r="E40" s="14">
        <v>8</v>
      </c>
      <c r="F40" s="14" t="s">
        <v>36</v>
      </c>
      <c r="G40" s="14">
        <v>368</v>
      </c>
      <c r="H40" s="102">
        <f>Tabla269[[#This Row],[Total cluster weight (g)]]/COUNTA(A38:A40)</f>
        <v>122.66666666666667</v>
      </c>
    </row>
    <row r="41" spans="1:9" x14ac:dyDescent="0.55000000000000004">
      <c r="A41" s="6" t="s">
        <v>251</v>
      </c>
      <c r="B41" s="9">
        <v>47</v>
      </c>
      <c r="C41" s="9">
        <v>56</v>
      </c>
      <c r="D41" s="21" t="s">
        <v>37</v>
      </c>
      <c r="E41" s="9">
        <v>9</v>
      </c>
      <c r="F41" s="9" t="s">
        <v>68</v>
      </c>
      <c r="G41" s="9"/>
      <c r="H41" s="88"/>
      <c r="I41" t="s">
        <v>56</v>
      </c>
    </row>
    <row r="42" spans="1:9" x14ac:dyDescent="0.55000000000000004">
      <c r="A42" s="8" t="s">
        <v>263</v>
      </c>
      <c r="B42" s="9">
        <v>51</v>
      </c>
      <c r="C42" s="9">
        <v>62</v>
      </c>
      <c r="D42" s="21" t="s">
        <v>37</v>
      </c>
      <c r="E42" s="9">
        <v>9</v>
      </c>
      <c r="F42" s="9" t="s">
        <v>36</v>
      </c>
      <c r="G42" s="9"/>
      <c r="H42" s="88"/>
    </row>
    <row r="43" spans="1:9" x14ac:dyDescent="0.55000000000000004">
      <c r="A43" s="10" t="s">
        <v>275</v>
      </c>
      <c r="B43" s="9">
        <v>50</v>
      </c>
      <c r="C43" s="9">
        <v>57</v>
      </c>
      <c r="D43" s="21" t="s">
        <v>37</v>
      </c>
      <c r="E43" s="9">
        <v>9</v>
      </c>
      <c r="F43" s="9" t="s">
        <v>35</v>
      </c>
      <c r="G43" s="9"/>
      <c r="H43" s="88"/>
    </row>
    <row r="44" spans="1:9" x14ac:dyDescent="0.55000000000000004">
      <c r="A44" s="11" t="s">
        <v>232</v>
      </c>
      <c r="B44" s="9">
        <v>51</v>
      </c>
      <c r="C44" s="9">
        <v>62</v>
      </c>
      <c r="D44" s="21" t="s">
        <v>37</v>
      </c>
      <c r="E44" s="9">
        <v>9</v>
      </c>
      <c r="F44" s="9" t="s">
        <v>36</v>
      </c>
      <c r="G44" s="9"/>
      <c r="H44" s="88"/>
    </row>
    <row r="45" spans="1:9" ht="14.7" thickBot="1" x14ac:dyDescent="0.6">
      <c r="A45" s="13" t="s">
        <v>233</v>
      </c>
      <c r="B45" s="14">
        <v>53</v>
      </c>
      <c r="C45" s="14">
        <v>66</v>
      </c>
      <c r="D45" s="23" t="s">
        <v>37</v>
      </c>
      <c r="E45" s="14">
        <v>9</v>
      </c>
      <c r="F45" s="14" t="s">
        <v>36</v>
      </c>
      <c r="G45" s="14">
        <v>521.5</v>
      </c>
      <c r="H45" s="102">
        <f>Tabla269[[#This Row],[Total cluster weight (g)]]/COUNTA(A41:A45)</f>
        <v>104.3</v>
      </c>
    </row>
    <row r="46" spans="1:9" x14ac:dyDescent="0.55000000000000004">
      <c r="A46" s="29"/>
      <c r="B46" s="30"/>
      <c r="C46" s="30"/>
      <c r="D46" s="31"/>
      <c r="E46" s="30"/>
      <c r="F46" s="30"/>
      <c r="G46" s="30"/>
      <c r="H46" s="92"/>
    </row>
    <row r="47" spans="1:9" x14ac:dyDescent="0.55000000000000004">
      <c r="A47" s="59" t="s">
        <v>190</v>
      </c>
      <c r="B47" s="55" t="s">
        <v>162</v>
      </c>
      <c r="C47" s="55" t="s">
        <v>163</v>
      </c>
      <c r="D47" s="55" t="s">
        <v>164</v>
      </c>
      <c r="E47" s="55" t="s">
        <v>165</v>
      </c>
      <c r="F47" s="56" t="s">
        <v>189</v>
      </c>
      <c r="G47" s="110" t="s">
        <v>230</v>
      </c>
    </row>
    <row r="48" spans="1:9" x14ac:dyDescent="0.55000000000000004">
      <c r="A48" s="60" t="s">
        <v>166</v>
      </c>
      <c r="B48" s="57">
        <f>AVERAGE(Tabla269[Height (mm)])</f>
        <v>50.325000000000003</v>
      </c>
      <c r="C48" s="57">
        <f>AVERAGE(Tabla269[Width (mm)])</f>
        <v>63.2</v>
      </c>
      <c r="D48" s="57">
        <f>MAX(Tabla269[[Cluster number ]])</f>
        <v>9</v>
      </c>
      <c r="E48" s="57">
        <f>AVERAGE(Tabla269[Tomato average weight per cluster])</f>
        <v>113.84907407407407</v>
      </c>
      <c r="F48" s="58">
        <f>COUNTA(Tabla269["L1" PLANT])</f>
        <v>40</v>
      </c>
      <c r="G48" s="109">
        <f>SUM(Tabla269[Total cluster weight (g)])</f>
        <v>4529</v>
      </c>
    </row>
    <row r="50" spans="1:9" ht="14.7" thickBot="1" x14ac:dyDescent="0.6">
      <c r="A50" s="5" t="s">
        <v>102</v>
      </c>
      <c r="B50" t="s">
        <v>3</v>
      </c>
      <c r="C50" t="s">
        <v>4</v>
      </c>
      <c r="D50" t="s">
        <v>5</v>
      </c>
      <c r="E50" t="s">
        <v>6</v>
      </c>
      <c r="F50" t="s">
        <v>7</v>
      </c>
      <c r="G50" t="s">
        <v>8</v>
      </c>
      <c r="H50" t="s">
        <v>161</v>
      </c>
    </row>
    <row r="51" spans="1:9" x14ac:dyDescent="0.55000000000000004">
      <c r="A51" s="6" t="s">
        <v>9</v>
      </c>
      <c r="B51" s="7">
        <v>52</v>
      </c>
      <c r="C51" s="7">
        <v>70</v>
      </c>
      <c r="D51" s="21" t="s">
        <v>37</v>
      </c>
      <c r="E51" s="9">
        <v>1</v>
      </c>
      <c r="F51" s="9" t="s">
        <v>36</v>
      </c>
      <c r="G51" s="9"/>
      <c r="H51" s="12"/>
    </row>
    <row r="52" spans="1:9" x14ac:dyDescent="0.55000000000000004">
      <c r="A52" s="8" t="s">
        <v>10</v>
      </c>
      <c r="B52" s="9">
        <v>52</v>
      </c>
      <c r="C52" s="9">
        <v>73</v>
      </c>
      <c r="D52" s="21" t="s">
        <v>37</v>
      </c>
      <c r="E52" s="9">
        <v>1</v>
      </c>
      <c r="F52" s="9" t="s">
        <v>36</v>
      </c>
      <c r="G52" s="9"/>
      <c r="H52" s="9"/>
    </row>
    <row r="53" spans="1:9" ht="14.7" thickBot="1" x14ac:dyDescent="0.6">
      <c r="A53" s="10" t="s">
        <v>11</v>
      </c>
      <c r="B53" s="14">
        <v>45</v>
      </c>
      <c r="C53" s="14">
        <v>63</v>
      </c>
      <c r="D53" s="23" t="s">
        <v>37</v>
      </c>
      <c r="E53" s="14">
        <v>1</v>
      </c>
      <c r="F53" s="14" t="s">
        <v>36</v>
      </c>
      <c r="G53" s="14">
        <v>399</v>
      </c>
      <c r="H53" s="14">
        <f>Tabla2695[[#This Row],[Total cluster weight (g)]]/COUNTA(A51:A53)</f>
        <v>133</v>
      </c>
    </row>
    <row r="54" spans="1:9" x14ac:dyDescent="0.55000000000000004">
      <c r="A54" s="6" t="s">
        <v>12</v>
      </c>
      <c r="B54" s="7">
        <v>53</v>
      </c>
      <c r="C54" s="7">
        <v>73</v>
      </c>
      <c r="D54" s="21" t="s">
        <v>37</v>
      </c>
      <c r="E54" s="9">
        <v>2</v>
      </c>
      <c r="F54" s="9" t="s">
        <v>35</v>
      </c>
      <c r="G54" s="9"/>
      <c r="H54" s="12"/>
    </row>
    <row r="55" spans="1:9" x14ac:dyDescent="0.55000000000000004">
      <c r="A55" s="10" t="s">
        <v>13</v>
      </c>
      <c r="B55" s="9">
        <v>51</v>
      </c>
      <c r="C55" s="9">
        <v>70</v>
      </c>
      <c r="D55" s="21" t="s">
        <v>37</v>
      </c>
      <c r="E55" s="9">
        <v>2</v>
      </c>
      <c r="F55" s="9" t="s">
        <v>35</v>
      </c>
      <c r="G55" s="9"/>
      <c r="H55" s="9"/>
    </row>
    <row r="56" spans="1:9" x14ac:dyDescent="0.55000000000000004">
      <c r="A56" s="10" t="s">
        <v>41</v>
      </c>
      <c r="B56" s="9">
        <v>55</v>
      </c>
      <c r="C56" s="9">
        <v>72</v>
      </c>
      <c r="D56" s="21" t="s">
        <v>37</v>
      </c>
      <c r="E56" s="9">
        <v>2</v>
      </c>
      <c r="F56" s="9" t="s">
        <v>35</v>
      </c>
      <c r="G56" s="9"/>
      <c r="H56" s="9"/>
    </row>
    <row r="57" spans="1:9" x14ac:dyDescent="0.55000000000000004">
      <c r="A57" s="40" t="s">
        <v>42</v>
      </c>
      <c r="B57" s="41">
        <v>54</v>
      </c>
      <c r="C57" s="41">
        <v>71</v>
      </c>
      <c r="D57" s="28" t="s">
        <v>37</v>
      </c>
      <c r="E57" s="9">
        <v>2</v>
      </c>
      <c r="F57" s="9" t="s">
        <v>35</v>
      </c>
      <c r="G57" s="9"/>
      <c r="H57" s="9"/>
    </row>
    <row r="58" spans="1:9" ht="14.7" thickBot="1" x14ac:dyDescent="0.6">
      <c r="A58" s="35" t="s">
        <v>43</v>
      </c>
      <c r="B58" s="14">
        <v>56</v>
      </c>
      <c r="C58" s="14">
        <v>86</v>
      </c>
      <c r="D58" s="23" t="s">
        <v>37</v>
      </c>
      <c r="E58" s="14">
        <v>2</v>
      </c>
      <c r="F58" s="14" t="s">
        <v>36</v>
      </c>
      <c r="G58" s="14">
        <v>798</v>
      </c>
      <c r="H58" s="14">
        <f>Tabla2695[[#This Row],[Total cluster weight (g)]]/COUNTA(A54:A58)</f>
        <v>159.6</v>
      </c>
    </row>
    <row r="59" spans="1:9" x14ac:dyDescent="0.55000000000000004">
      <c r="A59" s="6" t="s">
        <v>47</v>
      </c>
      <c r="B59" s="7">
        <v>55</v>
      </c>
      <c r="C59" s="7">
        <v>71</v>
      </c>
      <c r="D59" s="28" t="s">
        <v>37</v>
      </c>
      <c r="E59" s="12">
        <v>3</v>
      </c>
      <c r="F59" s="9" t="s">
        <v>35</v>
      </c>
      <c r="G59" s="9"/>
      <c r="H59" s="12"/>
    </row>
    <row r="60" spans="1:9" x14ac:dyDescent="0.55000000000000004">
      <c r="A60" s="8" t="s">
        <v>48</v>
      </c>
      <c r="B60" s="9">
        <v>56</v>
      </c>
      <c r="C60" s="9">
        <v>70</v>
      </c>
      <c r="D60" s="28" t="s">
        <v>37</v>
      </c>
      <c r="E60" s="12">
        <v>3</v>
      </c>
      <c r="F60" s="9" t="s">
        <v>35</v>
      </c>
      <c r="G60" s="9"/>
      <c r="H60" s="9"/>
    </row>
    <row r="61" spans="1:9" x14ac:dyDescent="0.55000000000000004">
      <c r="A61" s="10" t="s">
        <v>49</v>
      </c>
      <c r="B61" s="9">
        <v>56</v>
      </c>
      <c r="C61" s="9">
        <v>74</v>
      </c>
      <c r="D61" s="28" t="s">
        <v>37</v>
      </c>
      <c r="E61" s="12">
        <v>3</v>
      </c>
      <c r="F61" s="9" t="s">
        <v>35</v>
      </c>
      <c r="G61" s="9"/>
      <c r="H61" s="9"/>
    </row>
    <row r="62" spans="1:9" x14ac:dyDescent="0.55000000000000004">
      <c r="A62" s="34" t="s">
        <v>50</v>
      </c>
      <c r="B62" s="12">
        <v>57</v>
      </c>
      <c r="C62" s="12">
        <v>73</v>
      </c>
      <c r="D62" s="28" t="s">
        <v>37</v>
      </c>
      <c r="E62" s="12">
        <v>3</v>
      </c>
      <c r="F62" s="12" t="s">
        <v>36</v>
      </c>
      <c r="G62" s="9"/>
      <c r="H62" s="9"/>
    </row>
    <row r="63" spans="1:9" ht="14.7" thickBot="1" x14ac:dyDescent="0.6">
      <c r="A63" s="35" t="s">
        <v>51</v>
      </c>
      <c r="B63" s="14">
        <v>57</v>
      </c>
      <c r="C63" s="14">
        <v>77</v>
      </c>
      <c r="D63" s="23" t="s">
        <v>37</v>
      </c>
      <c r="E63" s="14">
        <v>3</v>
      </c>
      <c r="F63" s="14" t="s">
        <v>36</v>
      </c>
      <c r="G63" s="14">
        <v>793</v>
      </c>
      <c r="H63" s="14">
        <f>Tabla2695[[#This Row],[Total cluster weight (g)]]/COUNTA(A59:A63)</f>
        <v>158.6</v>
      </c>
    </row>
    <row r="64" spans="1:9" x14ac:dyDescent="0.55000000000000004">
      <c r="A64" s="6" t="s">
        <v>87</v>
      </c>
      <c r="B64" s="7">
        <v>56</v>
      </c>
      <c r="C64" s="7">
        <v>74</v>
      </c>
      <c r="D64" s="21" t="s">
        <v>37</v>
      </c>
      <c r="E64" s="9">
        <v>4</v>
      </c>
      <c r="F64" s="9" t="s">
        <v>35</v>
      </c>
      <c r="G64" s="9"/>
      <c r="H64" s="12"/>
      <c r="I64" t="s">
        <v>56</v>
      </c>
    </row>
    <row r="65" spans="1:8" x14ac:dyDescent="0.55000000000000004">
      <c r="A65" s="8" t="s">
        <v>88</v>
      </c>
      <c r="B65" s="9">
        <v>59</v>
      </c>
      <c r="C65" s="9">
        <v>72</v>
      </c>
      <c r="D65" s="21" t="s">
        <v>37</v>
      </c>
      <c r="E65" s="9">
        <v>4</v>
      </c>
      <c r="F65" s="9" t="s">
        <v>35</v>
      </c>
      <c r="G65" s="9"/>
      <c r="H65" s="9"/>
    </row>
    <row r="66" spans="1:8" x14ac:dyDescent="0.55000000000000004">
      <c r="A66" s="10" t="s">
        <v>73</v>
      </c>
      <c r="B66" s="9">
        <v>57</v>
      </c>
      <c r="C66" s="9">
        <v>73</v>
      </c>
      <c r="D66" s="21" t="s">
        <v>37</v>
      </c>
      <c r="E66" s="9">
        <v>4</v>
      </c>
      <c r="F66" s="9" t="s">
        <v>35</v>
      </c>
      <c r="G66" s="9"/>
      <c r="H66" s="9"/>
    </row>
    <row r="67" spans="1:8" x14ac:dyDescent="0.55000000000000004">
      <c r="A67" s="11" t="s">
        <v>81</v>
      </c>
      <c r="B67" s="12">
        <v>59</v>
      </c>
      <c r="C67" s="12">
        <v>73</v>
      </c>
      <c r="D67" s="21" t="s">
        <v>37</v>
      </c>
      <c r="E67" s="9">
        <v>4</v>
      </c>
      <c r="F67" s="9" t="s">
        <v>35</v>
      </c>
      <c r="G67" s="9"/>
      <c r="H67" s="9"/>
    </row>
    <row r="68" spans="1:8" ht="14.7" thickBot="1" x14ac:dyDescent="0.6">
      <c r="A68" s="32" t="s">
        <v>66</v>
      </c>
      <c r="B68" s="20">
        <v>57</v>
      </c>
      <c r="C68" s="20">
        <v>74</v>
      </c>
      <c r="D68" s="23" t="s">
        <v>37</v>
      </c>
      <c r="E68" s="14">
        <v>4</v>
      </c>
      <c r="F68" s="14" t="s">
        <v>35</v>
      </c>
      <c r="G68" s="14">
        <v>842.5</v>
      </c>
      <c r="H68" s="14">
        <f>Tabla2695[[#This Row],[Total cluster weight (g)]]/COUNTA(A64:A68)</f>
        <v>168.5</v>
      </c>
    </row>
    <row r="69" spans="1:8" x14ac:dyDescent="0.55000000000000004">
      <c r="A69" s="6" t="s">
        <v>67</v>
      </c>
      <c r="B69" s="7">
        <v>51</v>
      </c>
      <c r="C69" s="7">
        <v>66</v>
      </c>
      <c r="D69" s="28" t="s">
        <v>37</v>
      </c>
      <c r="E69" s="12">
        <v>5</v>
      </c>
      <c r="F69" s="12" t="s">
        <v>35</v>
      </c>
      <c r="G69" s="12"/>
      <c r="H69" s="5"/>
    </row>
    <row r="70" spans="1:8" x14ac:dyDescent="0.55000000000000004">
      <c r="A70" s="8" t="s">
        <v>71</v>
      </c>
      <c r="B70" s="9">
        <v>55</v>
      </c>
      <c r="C70" s="9">
        <v>70</v>
      </c>
      <c r="D70" s="21" t="s">
        <v>37</v>
      </c>
      <c r="E70" s="9">
        <v>5</v>
      </c>
      <c r="F70" s="9" t="s">
        <v>35</v>
      </c>
      <c r="G70" s="9"/>
      <c r="H70" s="5"/>
    </row>
    <row r="71" spans="1:8" x14ac:dyDescent="0.55000000000000004">
      <c r="A71" s="10" t="s">
        <v>89</v>
      </c>
      <c r="B71" s="9">
        <v>57</v>
      </c>
      <c r="C71" s="9">
        <v>72</v>
      </c>
      <c r="D71" s="21" t="s">
        <v>37</v>
      </c>
      <c r="E71" s="9">
        <v>5</v>
      </c>
      <c r="F71" s="9" t="s">
        <v>36</v>
      </c>
      <c r="G71" s="9"/>
      <c r="H71" s="5"/>
    </row>
    <row r="72" spans="1:8" x14ac:dyDescent="0.55000000000000004">
      <c r="A72" s="11" t="s">
        <v>92</v>
      </c>
      <c r="B72" s="12">
        <v>54</v>
      </c>
      <c r="C72" s="12">
        <v>70</v>
      </c>
      <c r="D72" s="21" t="s">
        <v>37</v>
      </c>
      <c r="E72" s="9">
        <v>5</v>
      </c>
      <c r="F72" s="9" t="s">
        <v>36</v>
      </c>
      <c r="G72" s="9"/>
      <c r="H72" s="5"/>
    </row>
    <row r="73" spans="1:8" ht="14.7" thickBot="1" x14ac:dyDescent="0.6">
      <c r="A73" s="13" t="s">
        <v>93</v>
      </c>
      <c r="B73" s="14">
        <v>55</v>
      </c>
      <c r="C73" s="14">
        <v>73</v>
      </c>
      <c r="D73" s="23" t="s">
        <v>37</v>
      </c>
      <c r="E73" s="14">
        <v>5</v>
      </c>
      <c r="F73" s="14" t="s">
        <v>36</v>
      </c>
      <c r="G73" s="14">
        <v>723.5</v>
      </c>
      <c r="H73" s="14">
        <f>Tabla2695[[#This Row],[Total cluster weight (g)]]/COUNTA(A69:A73)</f>
        <v>144.69999999999999</v>
      </c>
    </row>
    <row r="74" spans="1:8" x14ac:dyDescent="0.55000000000000004">
      <c r="A74" s="34" t="s">
        <v>94</v>
      </c>
      <c r="B74" s="12">
        <v>49</v>
      </c>
      <c r="C74" s="12">
        <v>66</v>
      </c>
      <c r="D74" s="28" t="s">
        <v>37</v>
      </c>
      <c r="E74" s="12">
        <v>6</v>
      </c>
      <c r="F74" s="12" t="s">
        <v>35</v>
      </c>
      <c r="G74" s="12"/>
      <c r="H74" s="93"/>
    </row>
    <row r="75" spans="1:8" x14ac:dyDescent="0.55000000000000004">
      <c r="A75" s="10" t="s">
        <v>95</v>
      </c>
      <c r="B75" s="9">
        <v>52</v>
      </c>
      <c r="C75" s="9">
        <v>68</v>
      </c>
      <c r="D75" s="21" t="s">
        <v>37</v>
      </c>
      <c r="E75" s="9">
        <v>6</v>
      </c>
      <c r="F75" s="9" t="s">
        <v>36</v>
      </c>
      <c r="G75" s="9"/>
      <c r="H75" s="88"/>
    </row>
    <row r="76" spans="1:8" x14ac:dyDescent="0.55000000000000004">
      <c r="A76" s="10" t="s">
        <v>144</v>
      </c>
      <c r="B76" s="9">
        <v>50</v>
      </c>
      <c r="C76" s="9">
        <v>68</v>
      </c>
      <c r="D76" s="21" t="s">
        <v>37</v>
      </c>
      <c r="E76" s="9">
        <v>6</v>
      </c>
      <c r="F76" s="9" t="s">
        <v>36</v>
      </c>
      <c r="G76" s="9"/>
      <c r="H76" s="88"/>
    </row>
    <row r="77" spans="1:8" x14ac:dyDescent="0.55000000000000004">
      <c r="A77" s="10" t="s">
        <v>150</v>
      </c>
      <c r="B77" s="9">
        <v>55</v>
      </c>
      <c r="C77" s="9">
        <v>70</v>
      </c>
      <c r="D77" s="21" t="s">
        <v>37</v>
      </c>
      <c r="E77" s="9">
        <v>6</v>
      </c>
      <c r="F77" s="9" t="s">
        <v>36</v>
      </c>
      <c r="G77" s="9"/>
      <c r="H77" s="88"/>
    </row>
    <row r="78" spans="1:8" ht="14.7" thickBot="1" x14ac:dyDescent="0.6">
      <c r="A78" s="35" t="s">
        <v>151</v>
      </c>
      <c r="B78" s="14">
        <v>53</v>
      </c>
      <c r="C78" s="14">
        <v>66</v>
      </c>
      <c r="D78" s="23" t="s">
        <v>37</v>
      </c>
      <c r="E78" s="14">
        <v>6</v>
      </c>
      <c r="F78" s="14" t="s">
        <v>36</v>
      </c>
      <c r="G78" s="14">
        <v>668</v>
      </c>
      <c r="H78" s="14">
        <f>Tabla2695[[#This Row],[Total cluster weight (g)]]/COUNTA(A74:A78)</f>
        <v>133.6</v>
      </c>
    </row>
    <row r="79" spans="1:8" x14ac:dyDescent="0.55000000000000004">
      <c r="A79" s="34" t="s">
        <v>152</v>
      </c>
      <c r="B79" s="12">
        <v>51</v>
      </c>
      <c r="C79" s="12">
        <v>64</v>
      </c>
      <c r="D79" s="28" t="s">
        <v>37</v>
      </c>
      <c r="E79" s="12">
        <v>7</v>
      </c>
      <c r="F79" s="12" t="s">
        <v>35</v>
      </c>
      <c r="G79" s="12"/>
      <c r="H79" s="93"/>
    </row>
    <row r="80" spans="1:8" x14ac:dyDescent="0.55000000000000004">
      <c r="A80" s="10" t="s">
        <v>153</v>
      </c>
      <c r="B80" s="9">
        <v>55</v>
      </c>
      <c r="C80" s="9">
        <v>67</v>
      </c>
      <c r="D80" s="21" t="s">
        <v>37</v>
      </c>
      <c r="E80" s="9">
        <v>7</v>
      </c>
      <c r="F80" s="9" t="s">
        <v>36</v>
      </c>
      <c r="G80" s="9"/>
      <c r="H80" s="88"/>
    </row>
    <row r="81" spans="1:9" x14ac:dyDescent="0.55000000000000004">
      <c r="A81" s="10" t="s">
        <v>158</v>
      </c>
      <c r="B81" s="9">
        <v>54</v>
      </c>
      <c r="C81" s="9">
        <v>69</v>
      </c>
      <c r="D81" s="21" t="s">
        <v>37</v>
      </c>
      <c r="E81" s="9">
        <v>7</v>
      </c>
      <c r="F81" s="9" t="s">
        <v>36</v>
      </c>
      <c r="G81" s="9"/>
      <c r="H81" s="88"/>
    </row>
    <row r="82" spans="1:9" x14ac:dyDescent="0.55000000000000004">
      <c r="A82" s="10" t="s">
        <v>215</v>
      </c>
      <c r="B82" s="9">
        <v>54</v>
      </c>
      <c r="C82" s="9">
        <v>70</v>
      </c>
      <c r="D82" s="21" t="s">
        <v>37</v>
      </c>
      <c r="E82" s="9">
        <v>7</v>
      </c>
      <c r="F82" s="9" t="s">
        <v>36</v>
      </c>
      <c r="G82" s="9"/>
      <c r="H82" s="88"/>
    </row>
    <row r="83" spans="1:9" x14ac:dyDescent="0.55000000000000004">
      <c r="A83" s="10" t="s">
        <v>216</v>
      </c>
      <c r="B83" s="9">
        <v>54</v>
      </c>
      <c r="C83" s="9">
        <v>66</v>
      </c>
      <c r="D83" s="21" t="s">
        <v>37</v>
      </c>
      <c r="E83" s="9">
        <v>7</v>
      </c>
      <c r="F83" s="9" t="s">
        <v>36</v>
      </c>
      <c r="G83" s="9"/>
      <c r="H83" s="88"/>
    </row>
    <row r="84" spans="1:9" ht="14.7" thickBot="1" x14ac:dyDescent="0.6">
      <c r="A84" s="35" t="s">
        <v>217</v>
      </c>
      <c r="B84" s="14">
        <v>40</v>
      </c>
      <c r="C84" s="14">
        <v>48</v>
      </c>
      <c r="D84" s="23">
        <v>48.5</v>
      </c>
      <c r="E84" s="14">
        <v>7</v>
      </c>
      <c r="F84" s="14" t="s">
        <v>36</v>
      </c>
      <c r="G84" s="14">
        <v>710.5</v>
      </c>
      <c r="H84" s="102">
        <f>Tabla2695[[#This Row],[Total cluster weight (g)]]/COUNTA(A79:A84)</f>
        <v>118.41666666666667</v>
      </c>
    </row>
    <row r="85" spans="1:9" x14ac:dyDescent="0.55000000000000004">
      <c r="A85" s="34" t="s">
        <v>218</v>
      </c>
      <c r="B85" s="12">
        <v>51</v>
      </c>
      <c r="C85" s="12">
        <v>66</v>
      </c>
      <c r="D85" s="28" t="s">
        <v>37</v>
      </c>
      <c r="E85" s="12">
        <v>8</v>
      </c>
      <c r="F85" s="12" t="s">
        <v>36</v>
      </c>
      <c r="G85" s="12"/>
      <c r="H85" s="93"/>
    </row>
    <row r="86" spans="1:9" x14ac:dyDescent="0.55000000000000004">
      <c r="A86" s="10" t="s">
        <v>219</v>
      </c>
      <c r="B86" s="9">
        <v>54</v>
      </c>
      <c r="C86" s="9">
        <v>68</v>
      </c>
      <c r="D86" s="21" t="s">
        <v>37</v>
      </c>
      <c r="E86" s="9">
        <v>8</v>
      </c>
      <c r="F86" s="9" t="s">
        <v>36</v>
      </c>
      <c r="G86" s="9"/>
      <c r="H86" s="88"/>
    </row>
    <row r="87" spans="1:9" x14ac:dyDescent="0.55000000000000004">
      <c r="A87" s="10" t="s">
        <v>222</v>
      </c>
      <c r="B87" s="9">
        <v>54</v>
      </c>
      <c r="C87" s="9">
        <v>69</v>
      </c>
      <c r="D87" s="21" t="s">
        <v>37</v>
      </c>
      <c r="E87" s="9">
        <v>8</v>
      </c>
      <c r="F87" s="9" t="s">
        <v>36</v>
      </c>
      <c r="G87" s="9"/>
      <c r="H87" s="88"/>
    </row>
    <row r="88" spans="1:9" ht="14.7" thickBot="1" x14ac:dyDescent="0.6">
      <c r="A88" s="35" t="s">
        <v>223</v>
      </c>
      <c r="B88" s="14">
        <v>54</v>
      </c>
      <c r="C88" s="14">
        <v>74</v>
      </c>
      <c r="D88" s="23" t="s">
        <v>37</v>
      </c>
      <c r="E88" s="14">
        <v>8</v>
      </c>
      <c r="F88" s="14" t="s">
        <v>36</v>
      </c>
      <c r="G88" s="14">
        <v>564</v>
      </c>
      <c r="H88" s="102">
        <f>Tabla2695[[#This Row],[Total cluster weight (g)]]/COUNTA(A85:A88)</f>
        <v>141</v>
      </c>
    </row>
    <row r="89" spans="1:9" x14ac:dyDescent="0.55000000000000004">
      <c r="A89" s="34" t="s">
        <v>232</v>
      </c>
      <c r="B89" s="12">
        <v>51</v>
      </c>
      <c r="C89" s="12">
        <v>67</v>
      </c>
      <c r="D89" s="28" t="s">
        <v>37</v>
      </c>
      <c r="E89" s="12">
        <v>9</v>
      </c>
      <c r="F89" s="12" t="s">
        <v>36</v>
      </c>
      <c r="G89" s="12"/>
      <c r="H89" s="93"/>
    </row>
    <row r="90" spans="1:9" x14ac:dyDescent="0.55000000000000004">
      <c r="A90" s="10" t="s">
        <v>233</v>
      </c>
      <c r="B90" s="9">
        <v>55</v>
      </c>
      <c r="C90" s="9">
        <v>68</v>
      </c>
      <c r="D90" s="21" t="s">
        <v>37</v>
      </c>
      <c r="E90" s="9">
        <v>9</v>
      </c>
      <c r="F90" s="9" t="s">
        <v>36</v>
      </c>
      <c r="G90" s="9"/>
      <c r="H90" s="88"/>
    </row>
    <row r="91" spans="1:9" x14ac:dyDescent="0.55000000000000004">
      <c r="A91" s="10" t="s">
        <v>234</v>
      </c>
      <c r="B91" s="9">
        <v>53</v>
      </c>
      <c r="C91" s="9">
        <v>69</v>
      </c>
      <c r="D91" s="21" t="s">
        <v>37</v>
      </c>
      <c r="E91" s="9">
        <v>9</v>
      </c>
      <c r="F91" s="9" t="s">
        <v>36</v>
      </c>
      <c r="G91" s="9"/>
      <c r="H91" s="88"/>
    </row>
    <row r="92" spans="1:9" x14ac:dyDescent="0.55000000000000004">
      <c r="A92" s="10" t="s">
        <v>235</v>
      </c>
      <c r="B92" s="9">
        <v>54</v>
      </c>
      <c r="C92" s="9">
        <v>69</v>
      </c>
      <c r="D92" s="21" t="s">
        <v>37</v>
      </c>
      <c r="E92" s="9">
        <v>9</v>
      </c>
      <c r="F92" s="9" t="s">
        <v>36</v>
      </c>
      <c r="G92" s="9"/>
      <c r="H92" s="88"/>
    </row>
    <row r="93" spans="1:9" ht="14.7" thickBot="1" x14ac:dyDescent="0.6">
      <c r="A93" s="35" t="s">
        <v>236</v>
      </c>
      <c r="B93" s="14">
        <v>55</v>
      </c>
      <c r="C93" s="14">
        <v>74</v>
      </c>
      <c r="D93" s="23" t="s">
        <v>37</v>
      </c>
      <c r="E93" s="14">
        <v>9</v>
      </c>
      <c r="F93" s="14" t="s">
        <v>36</v>
      </c>
      <c r="G93" s="14">
        <v>690.5</v>
      </c>
      <c r="H93" s="102">
        <f>Tabla2695[[#This Row],[Total cluster weight (g)]]/COUNTA(A89:A93)</f>
        <v>138.1</v>
      </c>
    </row>
    <row r="94" spans="1:9" x14ac:dyDescent="0.55000000000000004">
      <c r="A94" s="6" t="s">
        <v>276</v>
      </c>
      <c r="B94" s="7">
        <v>46</v>
      </c>
      <c r="C94" s="7">
        <v>61</v>
      </c>
      <c r="D94" s="9" t="s">
        <v>37</v>
      </c>
      <c r="E94" s="9">
        <v>10</v>
      </c>
      <c r="F94" s="20" t="s">
        <v>35</v>
      </c>
      <c r="G94" s="9"/>
      <c r="H94" s="157"/>
      <c r="I94" t="s">
        <v>56</v>
      </c>
    </row>
    <row r="95" spans="1:9" x14ac:dyDescent="0.55000000000000004">
      <c r="A95" s="8" t="s">
        <v>277</v>
      </c>
      <c r="B95" s="9">
        <v>51</v>
      </c>
      <c r="C95" s="9">
        <v>68</v>
      </c>
      <c r="D95" s="9" t="s">
        <v>37</v>
      </c>
      <c r="E95" s="9">
        <v>10</v>
      </c>
      <c r="F95" s="9" t="s">
        <v>36</v>
      </c>
      <c r="G95" s="9"/>
      <c r="H95" s="157"/>
    </row>
    <row r="96" spans="1:9" x14ac:dyDescent="0.55000000000000004">
      <c r="A96" s="10" t="s">
        <v>278</v>
      </c>
      <c r="B96" s="9">
        <v>50</v>
      </c>
      <c r="C96" s="9">
        <v>63</v>
      </c>
      <c r="D96" s="9" t="s">
        <v>37</v>
      </c>
      <c r="E96" s="9">
        <v>10</v>
      </c>
      <c r="F96" s="9" t="s">
        <v>36</v>
      </c>
      <c r="G96" s="9"/>
      <c r="H96" s="157"/>
    </row>
    <row r="97" spans="1:9" x14ac:dyDescent="0.55000000000000004">
      <c r="A97" s="11" t="s">
        <v>255</v>
      </c>
      <c r="B97" s="12">
        <v>55</v>
      </c>
      <c r="C97" s="12">
        <v>66</v>
      </c>
      <c r="D97" s="9" t="s">
        <v>37</v>
      </c>
      <c r="E97" s="9">
        <v>10</v>
      </c>
      <c r="F97" s="9" t="s">
        <v>36</v>
      </c>
      <c r="G97" s="9"/>
      <c r="H97" s="157"/>
    </row>
    <row r="98" spans="1:9" ht="14.7" thickBot="1" x14ac:dyDescent="0.6">
      <c r="A98" s="13" t="s">
        <v>256</v>
      </c>
      <c r="B98" s="14">
        <v>51</v>
      </c>
      <c r="C98" s="14">
        <v>63</v>
      </c>
      <c r="D98" s="14" t="s">
        <v>37</v>
      </c>
      <c r="E98" s="14">
        <v>10</v>
      </c>
      <c r="F98" s="22" t="s">
        <v>36</v>
      </c>
      <c r="G98" s="14">
        <v>574.5</v>
      </c>
      <c r="H98" s="112">
        <f>Tabla2695[[#This Row],[Total cluster weight (g)]]/COUNTA(A94:A98)</f>
        <v>114.9</v>
      </c>
    </row>
    <row r="99" spans="1:9" x14ac:dyDescent="0.55000000000000004">
      <c r="A99" s="29"/>
      <c r="B99" s="30"/>
      <c r="C99" s="4"/>
      <c r="D99" s="31"/>
      <c r="E99" s="4"/>
      <c r="F99" s="4"/>
      <c r="G99" s="4"/>
    </row>
    <row r="100" spans="1:9" x14ac:dyDescent="0.55000000000000004">
      <c r="A100" s="59" t="s">
        <v>191</v>
      </c>
      <c r="B100" s="55" t="s">
        <v>162</v>
      </c>
      <c r="C100" s="55" t="s">
        <v>163</v>
      </c>
      <c r="D100" s="55" t="s">
        <v>164</v>
      </c>
      <c r="E100" s="55" t="s">
        <v>165</v>
      </c>
      <c r="F100" s="56" t="s">
        <v>189</v>
      </c>
      <c r="G100" s="110" t="s">
        <v>230</v>
      </c>
    </row>
    <row r="101" spans="1:9" x14ac:dyDescent="0.55000000000000004">
      <c r="A101" s="60" t="s">
        <v>166</v>
      </c>
      <c r="B101" s="57">
        <f>AVERAGE(Tabla2695[Height (mm)])</f>
        <v>53.333333333333336</v>
      </c>
      <c r="C101" s="57">
        <f>AVERAGE(Tabla2695[Width (mm)])</f>
        <v>69.3125</v>
      </c>
      <c r="D101" s="57">
        <f>MAX(Tabla2695[[Cluster number ]])</f>
        <v>10</v>
      </c>
      <c r="E101" s="57">
        <f>AVERAGE(Tabla2695[Tomato average weight per cluster])</f>
        <v>141.04166666666669</v>
      </c>
      <c r="F101" s="58">
        <f>COUNTA(Tabla2695["L2" PLANT])</f>
        <v>48</v>
      </c>
      <c r="G101" s="109">
        <f>SUM(Tabla2695[Total cluster weight (g)])</f>
        <v>6763.5</v>
      </c>
    </row>
    <row r="103" spans="1:9" ht="14.7" thickBot="1" x14ac:dyDescent="0.6">
      <c r="A103" s="5" t="s">
        <v>103</v>
      </c>
      <c r="B103" t="s">
        <v>3</v>
      </c>
      <c r="C103" t="s">
        <v>4</v>
      </c>
      <c r="D103" t="s">
        <v>5</v>
      </c>
      <c r="E103" t="s">
        <v>6</v>
      </c>
      <c r="F103" t="s">
        <v>7</v>
      </c>
      <c r="G103" t="s">
        <v>8</v>
      </c>
      <c r="H103" t="s">
        <v>161</v>
      </c>
    </row>
    <row r="104" spans="1:9" x14ac:dyDescent="0.55000000000000004">
      <c r="A104" s="6" t="s">
        <v>9</v>
      </c>
      <c r="B104" s="38">
        <v>48</v>
      </c>
      <c r="C104" s="38">
        <v>59</v>
      </c>
      <c r="D104" s="21" t="s">
        <v>37</v>
      </c>
      <c r="E104" s="20">
        <v>1</v>
      </c>
      <c r="F104" s="20" t="s">
        <v>35</v>
      </c>
      <c r="G104" s="9"/>
      <c r="H104" s="12"/>
    </row>
    <row r="105" spans="1:9" x14ac:dyDescent="0.55000000000000004">
      <c r="A105" s="8" t="s">
        <v>10</v>
      </c>
      <c r="B105" s="9">
        <v>49</v>
      </c>
      <c r="C105" s="9">
        <v>65</v>
      </c>
      <c r="D105" s="21" t="s">
        <v>37</v>
      </c>
      <c r="E105" s="20">
        <v>1</v>
      </c>
      <c r="F105" s="9" t="s">
        <v>36</v>
      </c>
      <c r="G105" s="9"/>
      <c r="H105" s="9"/>
    </row>
    <row r="106" spans="1:9" x14ac:dyDescent="0.55000000000000004">
      <c r="A106" s="10" t="s">
        <v>11</v>
      </c>
      <c r="B106" s="9">
        <v>48</v>
      </c>
      <c r="C106" s="9">
        <v>65</v>
      </c>
      <c r="D106" s="21" t="s">
        <v>37</v>
      </c>
      <c r="E106" s="20">
        <v>1</v>
      </c>
      <c r="F106" s="9" t="s">
        <v>36</v>
      </c>
      <c r="G106" s="9"/>
      <c r="H106" s="9"/>
    </row>
    <row r="107" spans="1:9" x14ac:dyDescent="0.55000000000000004">
      <c r="A107" s="11" t="s">
        <v>12</v>
      </c>
      <c r="B107" s="9">
        <v>47</v>
      </c>
      <c r="C107" s="9">
        <v>61</v>
      </c>
      <c r="D107" s="21" t="s">
        <v>37</v>
      </c>
      <c r="E107" s="20">
        <v>1</v>
      </c>
      <c r="F107" s="9" t="s">
        <v>36</v>
      </c>
      <c r="G107" s="9"/>
      <c r="H107" s="9"/>
    </row>
    <row r="108" spans="1:9" ht="14.7" thickBot="1" x14ac:dyDescent="0.6">
      <c r="A108" s="13" t="s">
        <v>13</v>
      </c>
      <c r="B108" s="14">
        <v>41</v>
      </c>
      <c r="C108" s="14">
        <v>53</v>
      </c>
      <c r="D108" s="23" t="s">
        <v>37</v>
      </c>
      <c r="E108" s="14">
        <v>1</v>
      </c>
      <c r="F108" s="14" t="s">
        <v>36</v>
      </c>
      <c r="G108" s="14">
        <v>487</v>
      </c>
      <c r="H108" s="14">
        <f>Tabla2696[[#This Row],[Total cluster weight (g)]]/COUNTA(A104:A108)</f>
        <v>97.4</v>
      </c>
    </row>
    <row r="109" spans="1:9" x14ac:dyDescent="0.55000000000000004">
      <c r="A109" s="6" t="s">
        <v>41</v>
      </c>
      <c r="B109" s="9">
        <v>50</v>
      </c>
      <c r="C109" s="9">
        <v>63</v>
      </c>
      <c r="D109" s="21" t="s">
        <v>37</v>
      </c>
      <c r="E109" s="9">
        <v>2</v>
      </c>
      <c r="F109" s="9" t="s">
        <v>35</v>
      </c>
      <c r="G109" s="9"/>
      <c r="H109" s="12"/>
    </row>
    <row r="110" spans="1:9" x14ac:dyDescent="0.55000000000000004">
      <c r="A110" s="8" t="s">
        <v>42</v>
      </c>
      <c r="B110" s="9">
        <v>52</v>
      </c>
      <c r="C110" s="9">
        <v>61</v>
      </c>
      <c r="D110" s="21" t="s">
        <v>37</v>
      </c>
      <c r="E110" s="9">
        <v>2</v>
      </c>
      <c r="F110" s="9" t="s">
        <v>35</v>
      </c>
      <c r="G110" s="9"/>
      <c r="H110" s="9"/>
    </row>
    <row r="111" spans="1:9" x14ac:dyDescent="0.55000000000000004">
      <c r="A111" s="10" t="s">
        <v>43</v>
      </c>
      <c r="B111" s="9">
        <v>48</v>
      </c>
      <c r="C111" s="9">
        <v>63</v>
      </c>
      <c r="D111" s="21" t="s">
        <v>37</v>
      </c>
      <c r="E111" s="9">
        <v>2</v>
      </c>
      <c r="F111" s="9" t="s">
        <v>36</v>
      </c>
      <c r="G111" s="9"/>
      <c r="H111" s="9"/>
    </row>
    <row r="112" spans="1:9" x14ac:dyDescent="0.55000000000000004">
      <c r="A112" s="32" t="s">
        <v>44</v>
      </c>
      <c r="B112" s="9">
        <v>50</v>
      </c>
      <c r="C112" s="9">
        <v>60</v>
      </c>
      <c r="D112" s="21">
        <v>101</v>
      </c>
      <c r="E112" s="9">
        <v>2</v>
      </c>
      <c r="F112" s="9" t="s">
        <v>36</v>
      </c>
      <c r="G112" s="9"/>
      <c r="H112" s="9"/>
      <c r="I112" t="s">
        <v>38</v>
      </c>
    </row>
    <row r="113" spans="1:9" ht="14.7" thickBot="1" x14ac:dyDescent="0.6">
      <c r="A113" s="35" t="s">
        <v>45</v>
      </c>
      <c r="B113" s="14">
        <v>51</v>
      </c>
      <c r="C113" s="14">
        <v>64</v>
      </c>
      <c r="D113" s="23">
        <v>115.5</v>
      </c>
      <c r="E113" s="14">
        <v>2</v>
      </c>
      <c r="F113" s="14" t="s">
        <v>36</v>
      </c>
      <c r="G113" s="14">
        <v>545.5</v>
      </c>
      <c r="H113" s="14">
        <f>Tabla2696[[#This Row],[Total cluster weight (g)]]/COUNTA(A109:A113)</f>
        <v>109.1</v>
      </c>
      <c r="I113" t="s">
        <v>38</v>
      </c>
    </row>
    <row r="114" spans="1:9" x14ac:dyDescent="0.55000000000000004">
      <c r="A114" s="10" t="s">
        <v>49</v>
      </c>
      <c r="B114" s="9">
        <v>52</v>
      </c>
      <c r="C114" s="9">
        <v>61</v>
      </c>
      <c r="D114" s="21" t="s">
        <v>37</v>
      </c>
      <c r="E114" s="9">
        <v>3</v>
      </c>
      <c r="F114" s="9" t="s">
        <v>35</v>
      </c>
      <c r="G114" s="9"/>
      <c r="H114" s="12"/>
    </row>
    <row r="115" spans="1:9" x14ac:dyDescent="0.55000000000000004">
      <c r="A115" s="10" t="s">
        <v>50</v>
      </c>
      <c r="B115" s="9">
        <v>52</v>
      </c>
      <c r="C115" s="9">
        <v>60</v>
      </c>
      <c r="D115" s="21" t="s">
        <v>37</v>
      </c>
      <c r="E115" s="9">
        <v>3</v>
      </c>
      <c r="F115" s="9" t="s">
        <v>36</v>
      </c>
      <c r="G115" s="9"/>
      <c r="H115" s="9"/>
    </row>
    <row r="116" spans="1:9" x14ac:dyDescent="0.55000000000000004">
      <c r="A116" s="10" t="s">
        <v>51</v>
      </c>
      <c r="B116" s="9">
        <v>50</v>
      </c>
      <c r="C116" s="9">
        <v>60</v>
      </c>
      <c r="D116" s="21" t="s">
        <v>37</v>
      </c>
      <c r="E116" s="12">
        <v>3</v>
      </c>
      <c r="F116" s="9" t="s">
        <v>35</v>
      </c>
      <c r="G116" s="9"/>
      <c r="H116" s="9"/>
    </row>
    <row r="117" spans="1:9" x14ac:dyDescent="0.55000000000000004">
      <c r="A117" s="10" t="s">
        <v>52</v>
      </c>
      <c r="B117" s="9">
        <v>53</v>
      </c>
      <c r="C117" s="9">
        <v>68</v>
      </c>
      <c r="D117" s="21" t="s">
        <v>37</v>
      </c>
      <c r="E117" s="12">
        <v>3</v>
      </c>
      <c r="F117" s="9" t="s">
        <v>36</v>
      </c>
      <c r="G117" s="9"/>
      <c r="H117" s="9"/>
    </row>
    <row r="118" spans="1:9" ht="14.7" thickBot="1" x14ac:dyDescent="0.6">
      <c r="A118" s="35" t="s">
        <v>53</v>
      </c>
      <c r="B118" s="14">
        <v>49</v>
      </c>
      <c r="C118" s="14">
        <v>59</v>
      </c>
      <c r="D118" s="23" t="s">
        <v>37</v>
      </c>
      <c r="E118" s="14">
        <v>3</v>
      </c>
      <c r="F118" s="14" t="s">
        <v>36</v>
      </c>
      <c r="G118" s="14">
        <v>536.5</v>
      </c>
      <c r="H118" s="14">
        <f>Tabla2696[[#This Row],[Total cluster weight (g)]]/COUNTA(A114:A118)</f>
        <v>107.3</v>
      </c>
    </row>
    <row r="119" spans="1:9" x14ac:dyDescent="0.55000000000000004">
      <c r="A119" s="11" t="s">
        <v>85</v>
      </c>
      <c r="B119" s="12">
        <v>54</v>
      </c>
      <c r="C119" s="12">
        <v>65</v>
      </c>
      <c r="D119" s="28" t="s">
        <v>37</v>
      </c>
      <c r="E119" s="12">
        <v>4</v>
      </c>
      <c r="F119" s="12" t="s">
        <v>35</v>
      </c>
      <c r="G119" s="12"/>
      <c r="H119" s="12"/>
      <c r="I119" t="s">
        <v>56</v>
      </c>
    </row>
    <row r="120" spans="1:9" x14ac:dyDescent="0.55000000000000004">
      <c r="A120" s="8" t="s">
        <v>65</v>
      </c>
      <c r="B120" s="9">
        <v>52</v>
      </c>
      <c r="C120" s="9">
        <v>65</v>
      </c>
      <c r="D120" s="21" t="s">
        <v>37</v>
      </c>
      <c r="E120" s="9">
        <v>4</v>
      </c>
      <c r="F120" s="9" t="s">
        <v>36</v>
      </c>
      <c r="G120" s="9"/>
      <c r="H120" s="9"/>
    </row>
    <row r="121" spans="1:9" x14ac:dyDescent="0.55000000000000004">
      <c r="A121" s="10" t="s">
        <v>99</v>
      </c>
      <c r="B121" s="9">
        <v>54</v>
      </c>
      <c r="C121" s="9">
        <v>66</v>
      </c>
      <c r="D121" s="21" t="s">
        <v>37</v>
      </c>
      <c r="E121" s="9">
        <v>4</v>
      </c>
      <c r="F121" s="9" t="s">
        <v>36</v>
      </c>
      <c r="G121" s="9"/>
      <c r="H121" s="9"/>
    </row>
    <row r="122" spans="1:9" x14ac:dyDescent="0.55000000000000004">
      <c r="A122" s="11" t="s">
        <v>67</v>
      </c>
      <c r="B122" s="9">
        <v>55</v>
      </c>
      <c r="C122" s="9">
        <v>67</v>
      </c>
      <c r="D122" s="21" t="s">
        <v>37</v>
      </c>
      <c r="E122" s="9">
        <v>4</v>
      </c>
      <c r="F122" s="9" t="s">
        <v>36</v>
      </c>
      <c r="G122" s="9"/>
      <c r="H122" s="9"/>
    </row>
    <row r="123" spans="1:9" ht="14.7" thickBot="1" x14ac:dyDescent="0.6">
      <c r="A123" s="13" t="s">
        <v>71</v>
      </c>
      <c r="B123" s="14">
        <v>54</v>
      </c>
      <c r="C123" s="14">
        <v>68</v>
      </c>
      <c r="D123" s="23" t="s">
        <v>37</v>
      </c>
      <c r="E123" s="14">
        <v>4</v>
      </c>
      <c r="F123" s="14" t="s">
        <v>36</v>
      </c>
      <c r="G123" s="14">
        <v>637.5</v>
      </c>
      <c r="H123" s="14">
        <f>Tabla2696[[#This Row],[Total cluster weight (g)]]/COUNTA(A119:A123)</f>
        <v>127.5</v>
      </c>
    </row>
    <row r="124" spans="1:9" x14ac:dyDescent="0.55000000000000004">
      <c r="A124" s="11" t="s">
        <v>89</v>
      </c>
      <c r="B124" s="12">
        <v>54</v>
      </c>
      <c r="C124" s="12">
        <v>64</v>
      </c>
      <c r="D124" s="28" t="s">
        <v>37</v>
      </c>
      <c r="E124" s="12">
        <v>5</v>
      </c>
      <c r="F124" s="12" t="s">
        <v>35</v>
      </c>
      <c r="G124" s="12"/>
      <c r="H124" s="12"/>
    </row>
    <row r="125" spans="1:9" x14ac:dyDescent="0.55000000000000004">
      <c r="A125" s="8" t="s">
        <v>92</v>
      </c>
      <c r="B125" s="9">
        <v>52</v>
      </c>
      <c r="C125" s="9">
        <v>65</v>
      </c>
      <c r="D125" s="21" t="s">
        <v>37</v>
      </c>
      <c r="E125" s="12">
        <v>5</v>
      </c>
      <c r="F125" s="9" t="s">
        <v>35</v>
      </c>
      <c r="G125" s="9"/>
      <c r="H125" s="9"/>
    </row>
    <row r="126" spans="1:9" x14ac:dyDescent="0.55000000000000004">
      <c r="A126" s="10" t="s">
        <v>93</v>
      </c>
      <c r="B126" s="9">
        <v>55</v>
      </c>
      <c r="C126" s="9">
        <v>69</v>
      </c>
      <c r="D126" s="21" t="s">
        <v>37</v>
      </c>
      <c r="E126" s="12">
        <v>5</v>
      </c>
      <c r="F126" s="9" t="s">
        <v>35</v>
      </c>
      <c r="G126" s="9"/>
      <c r="H126" s="9"/>
    </row>
    <row r="127" spans="1:9" x14ac:dyDescent="0.55000000000000004">
      <c r="A127" s="11" t="s">
        <v>94</v>
      </c>
      <c r="B127" s="9">
        <v>55</v>
      </c>
      <c r="C127" s="9">
        <v>70</v>
      </c>
      <c r="D127" s="21" t="s">
        <v>37</v>
      </c>
      <c r="E127" s="12">
        <v>5</v>
      </c>
      <c r="F127" s="9" t="s">
        <v>36</v>
      </c>
      <c r="G127" s="9"/>
      <c r="H127" s="9"/>
    </row>
    <row r="128" spans="1:9" ht="14.7" thickBot="1" x14ac:dyDescent="0.6">
      <c r="A128" s="13" t="s">
        <v>95</v>
      </c>
      <c r="B128" s="14">
        <v>56</v>
      </c>
      <c r="C128" s="14">
        <v>72</v>
      </c>
      <c r="D128" s="23" t="s">
        <v>37</v>
      </c>
      <c r="E128" s="14">
        <v>5</v>
      </c>
      <c r="F128" s="14" t="s">
        <v>36</v>
      </c>
      <c r="G128" s="14">
        <v>689</v>
      </c>
      <c r="H128" s="14">
        <f>Tabla2696[[#This Row],[Total cluster weight (g)]]/COUNTA(A124:A128)</f>
        <v>137.80000000000001</v>
      </c>
    </row>
    <row r="129" spans="1:8" x14ac:dyDescent="0.55000000000000004">
      <c r="A129" s="6" t="s">
        <v>144</v>
      </c>
      <c r="B129" s="9">
        <v>51</v>
      </c>
      <c r="C129" s="9">
        <v>63</v>
      </c>
      <c r="D129" s="21" t="s">
        <v>37</v>
      </c>
      <c r="E129" s="9">
        <v>6</v>
      </c>
      <c r="F129" s="9" t="s">
        <v>35</v>
      </c>
      <c r="G129" s="9"/>
      <c r="H129" s="12"/>
    </row>
    <row r="130" spans="1:8" x14ac:dyDescent="0.55000000000000004">
      <c r="A130" s="8" t="s">
        <v>150</v>
      </c>
      <c r="B130" s="9">
        <v>50</v>
      </c>
      <c r="C130" s="9">
        <v>58</v>
      </c>
      <c r="D130" s="21" t="s">
        <v>37</v>
      </c>
      <c r="E130" s="9">
        <v>6</v>
      </c>
      <c r="F130" s="9" t="s">
        <v>35</v>
      </c>
      <c r="G130" s="9"/>
      <c r="H130" s="9"/>
    </row>
    <row r="131" spans="1:8" x14ac:dyDescent="0.55000000000000004">
      <c r="A131" s="10" t="s">
        <v>151</v>
      </c>
      <c r="B131" s="9">
        <v>52</v>
      </c>
      <c r="C131" s="9">
        <v>60</v>
      </c>
      <c r="D131" s="21" t="s">
        <v>37</v>
      </c>
      <c r="E131" s="9">
        <v>6</v>
      </c>
      <c r="F131" s="9" t="s">
        <v>35</v>
      </c>
      <c r="G131" s="9"/>
      <c r="H131" s="9"/>
    </row>
    <row r="132" spans="1:8" x14ac:dyDescent="0.55000000000000004">
      <c r="A132" s="11" t="s">
        <v>152</v>
      </c>
      <c r="B132" s="9">
        <v>55</v>
      </c>
      <c r="C132" s="9">
        <v>66</v>
      </c>
      <c r="D132" s="21" t="s">
        <v>37</v>
      </c>
      <c r="E132" s="9">
        <v>6</v>
      </c>
      <c r="F132" s="9" t="s">
        <v>36</v>
      </c>
      <c r="G132" s="9"/>
      <c r="H132" s="9"/>
    </row>
    <row r="133" spans="1:8" ht="14.7" thickBot="1" x14ac:dyDescent="0.6">
      <c r="A133" s="13" t="s">
        <v>153</v>
      </c>
      <c r="B133" s="14">
        <v>55</v>
      </c>
      <c r="C133" s="14">
        <v>63</v>
      </c>
      <c r="D133" s="23" t="s">
        <v>37</v>
      </c>
      <c r="E133" s="14">
        <v>6</v>
      </c>
      <c r="F133" s="14" t="s">
        <v>36</v>
      </c>
      <c r="G133" s="14">
        <v>543.5</v>
      </c>
      <c r="H133" s="14">
        <f>Tabla2696[[#This Row],[Total cluster weight (g)]]/COUNTA(A129:A133)</f>
        <v>108.7</v>
      </c>
    </row>
    <row r="134" spans="1:8" x14ac:dyDescent="0.55000000000000004">
      <c r="A134" s="6" t="s">
        <v>158</v>
      </c>
      <c r="B134" s="7">
        <v>42</v>
      </c>
      <c r="C134" s="7">
        <v>47</v>
      </c>
      <c r="D134" s="21" t="s">
        <v>37</v>
      </c>
      <c r="E134" s="9">
        <v>7</v>
      </c>
      <c r="F134" s="9" t="s">
        <v>61</v>
      </c>
      <c r="G134" s="9"/>
      <c r="H134" s="88"/>
    </row>
    <row r="135" spans="1:8" x14ac:dyDescent="0.55000000000000004">
      <c r="A135" s="8" t="s">
        <v>215</v>
      </c>
      <c r="B135" s="9">
        <v>47</v>
      </c>
      <c r="C135" s="9">
        <v>59</v>
      </c>
      <c r="D135" s="21" t="s">
        <v>37</v>
      </c>
      <c r="E135" s="9">
        <v>7</v>
      </c>
      <c r="F135" s="9" t="s">
        <v>68</v>
      </c>
      <c r="G135" s="9"/>
      <c r="H135" s="88"/>
    </row>
    <row r="136" spans="1:8" x14ac:dyDescent="0.55000000000000004">
      <c r="A136" s="10" t="s">
        <v>216</v>
      </c>
      <c r="B136" s="9">
        <v>47</v>
      </c>
      <c r="C136" s="9">
        <v>59</v>
      </c>
      <c r="D136" s="21" t="s">
        <v>37</v>
      </c>
      <c r="E136" s="9">
        <v>7</v>
      </c>
      <c r="F136" s="9" t="s">
        <v>35</v>
      </c>
      <c r="G136" s="9"/>
      <c r="H136" s="88"/>
    </row>
    <row r="137" spans="1:8" x14ac:dyDescent="0.55000000000000004">
      <c r="A137" s="11" t="s">
        <v>217</v>
      </c>
      <c r="B137" s="12">
        <v>50</v>
      </c>
      <c r="C137" s="12">
        <v>61</v>
      </c>
      <c r="D137" s="21" t="s">
        <v>37</v>
      </c>
      <c r="E137" s="9">
        <v>7</v>
      </c>
      <c r="F137" s="12" t="s">
        <v>35</v>
      </c>
      <c r="G137" s="9"/>
      <c r="H137" s="88"/>
    </row>
    <row r="138" spans="1:8" x14ac:dyDescent="0.55000000000000004">
      <c r="A138" s="10" t="s">
        <v>218</v>
      </c>
      <c r="B138" s="9">
        <v>52</v>
      </c>
      <c r="C138" s="9">
        <v>61</v>
      </c>
      <c r="D138" s="21" t="s">
        <v>37</v>
      </c>
      <c r="E138" s="9">
        <v>7</v>
      </c>
      <c r="F138" s="9" t="s">
        <v>36</v>
      </c>
      <c r="G138" s="9"/>
      <c r="H138" s="88"/>
    </row>
    <row r="139" spans="1:8" x14ac:dyDescent="0.55000000000000004">
      <c r="A139" s="11" t="s">
        <v>219</v>
      </c>
      <c r="B139" s="12">
        <v>51</v>
      </c>
      <c r="C139" s="12">
        <v>58</v>
      </c>
      <c r="D139" s="21" t="s">
        <v>37</v>
      </c>
      <c r="E139" s="9">
        <v>7</v>
      </c>
      <c r="F139" s="9" t="s">
        <v>36</v>
      </c>
      <c r="G139" s="9"/>
      <c r="H139" s="88"/>
    </row>
    <row r="140" spans="1:8" x14ac:dyDescent="0.55000000000000004">
      <c r="A140" s="10" t="s">
        <v>222</v>
      </c>
      <c r="B140" s="9">
        <v>53</v>
      </c>
      <c r="C140" s="9">
        <v>61</v>
      </c>
      <c r="D140" s="21" t="s">
        <v>37</v>
      </c>
      <c r="E140" s="9">
        <v>7</v>
      </c>
      <c r="F140" s="9" t="s">
        <v>36</v>
      </c>
      <c r="G140" s="9"/>
      <c r="H140" s="88"/>
    </row>
    <row r="141" spans="1:8" ht="14.7" thickBot="1" x14ac:dyDescent="0.6">
      <c r="A141" s="13" t="s">
        <v>223</v>
      </c>
      <c r="B141" s="14">
        <v>51</v>
      </c>
      <c r="C141" s="14">
        <v>64</v>
      </c>
      <c r="D141" s="23" t="s">
        <v>37</v>
      </c>
      <c r="E141" s="14">
        <v>7</v>
      </c>
      <c r="F141" s="14" t="s">
        <v>36</v>
      </c>
      <c r="G141" s="14">
        <v>757.5</v>
      </c>
      <c r="H141" s="14">
        <f>Tabla2696[[#This Row],[Total cluster weight (g)]]/COUNTA(A134:A141)</f>
        <v>94.6875</v>
      </c>
    </row>
    <row r="142" spans="1:8" x14ac:dyDescent="0.55000000000000004">
      <c r="A142" s="29" t="s">
        <v>232</v>
      </c>
      <c r="B142" s="9">
        <v>52</v>
      </c>
      <c r="C142" s="9">
        <v>61</v>
      </c>
      <c r="D142" s="21" t="s">
        <v>37</v>
      </c>
      <c r="E142" s="20">
        <v>8</v>
      </c>
      <c r="F142" s="9" t="s">
        <v>68</v>
      </c>
      <c r="G142" s="9"/>
      <c r="H142" s="88"/>
    </row>
    <row r="143" spans="1:8" x14ac:dyDescent="0.55000000000000004">
      <c r="A143" s="29" t="s">
        <v>233</v>
      </c>
      <c r="B143" s="9">
        <v>48</v>
      </c>
      <c r="C143" s="9">
        <v>58</v>
      </c>
      <c r="D143" s="21" t="s">
        <v>37</v>
      </c>
      <c r="E143" s="41">
        <v>8</v>
      </c>
      <c r="F143" s="9" t="s">
        <v>35</v>
      </c>
      <c r="G143" s="9"/>
      <c r="H143" s="88"/>
    </row>
    <row r="144" spans="1:8" x14ac:dyDescent="0.55000000000000004">
      <c r="A144" s="29" t="s">
        <v>234</v>
      </c>
      <c r="B144" s="9">
        <v>52</v>
      </c>
      <c r="C144" s="9">
        <v>64</v>
      </c>
      <c r="D144" s="21" t="s">
        <v>37</v>
      </c>
      <c r="E144" s="41">
        <v>8</v>
      </c>
      <c r="F144" s="9" t="s">
        <v>35</v>
      </c>
      <c r="G144" s="9"/>
      <c r="H144" s="88"/>
    </row>
    <row r="145" spans="1:9" x14ac:dyDescent="0.55000000000000004">
      <c r="A145" s="29" t="s">
        <v>235</v>
      </c>
      <c r="B145" s="9">
        <v>53</v>
      </c>
      <c r="C145" s="9">
        <v>66</v>
      </c>
      <c r="D145" s="21" t="s">
        <v>37</v>
      </c>
      <c r="E145" s="41">
        <v>8</v>
      </c>
      <c r="F145" s="9" t="s">
        <v>36</v>
      </c>
      <c r="G145" s="9"/>
      <c r="H145" s="88"/>
    </row>
    <row r="146" spans="1:9" ht="14.7" thickBot="1" x14ac:dyDescent="0.6">
      <c r="A146" s="91" t="s">
        <v>236</v>
      </c>
      <c r="B146" s="14">
        <v>53</v>
      </c>
      <c r="C146" s="14">
        <v>69</v>
      </c>
      <c r="D146" s="23" t="s">
        <v>37</v>
      </c>
      <c r="E146" s="22">
        <v>8</v>
      </c>
      <c r="F146" s="14" t="s">
        <v>36</v>
      </c>
      <c r="G146" s="14">
        <v>581</v>
      </c>
      <c r="H146" s="102">
        <f>Tabla2696[[#This Row],[Total cluster weight (g)]]/COUNTA(A142:A146)</f>
        <v>116.2</v>
      </c>
    </row>
    <row r="147" spans="1:9" x14ac:dyDescent="0.55000000000000004">
      <c r="A147" s="29" t="s">
        <v>248</v>
      </c>
      <c r="B147" s="9">
        <v>51</v>
      </c>
      <c r="C147" s="9">
        <v>63</v>
      </c>
      <c r="D147" s="21" t="s">
        <v>37</v>
      </c>
      <c r="E147" s="20">
        <v>9</v>
      </c>
      <c r="F147" s="9" t="s">
        <v>36</v>
      </c>
      <c r="G147" s="9"/>
      <c r="H147" s="88"/>
    </row>
    <row r="148" spans="1:9" x14ac:dyDescent="0.55000000000000004">
      <c r="A148" s="29" t="s">
        <v>249</v>
      </c>
      <c r="B148" s="9">
        <v>52</v>
      </c>
      <c r="C148" s="9">
        <v>63</v>
      </c>
      <c r="D148" s="21" t="s">
        <v>37</v>
      </c>
      <c r="E148" s="41">
        <v>9</v>
      </c>
      <c r="F148" s="9" t="s">
        <v>36</v>
      </c>
      <c r="G148" s="9"/>
      <c r="H148" s="88"/>
    </row>
    <row r="149" spans="1:9" x14ac:dyDescent="0.55000000000000004">
      <c r="A149" s="29" t="s">
        <v>250</v>
      </c>
      <c r="B149" s="9">
        <v>50</v>
      </c>
      <c r="C149" s="9">
        <v>61</v>
      </c>
      <c r="D149" s="21" t="s">
        <v>37</v>
      </c>
      <c r="E149" s="41">
        <v>9</v>
      </c>
      <c r="F149" s="9" t="s">
        <v>36</v>
      </c>
      <c r="G149" s="9"/>
      <c r="H149" s="88"/>
    </row>
    <row r="150" spans="1:9" x14ac:dyDescent="0.55000000000000004">
      <c r="A150" s="29" t="s">
        <v>255</v>
      </c>
      <c r="B150" s="9">
        <v>53</v>
      </c>
      <c r="C150" s="9">
        <v>65</v>
      </c>
      <c r="D150" s="21" t="s">
        <v>37</v>
      </c>
      <c r="E150" s="41">
        <v>9</v>
      </c>
      <c r="F150" s="9" t="s">
        <v>36</v>
      </c>
      <c r="G150" s="9"/>
      <c r="H150" s="88"/>
    </row>
    <row r="151" spans="1:9" ht="14.7" thickBot="1" x14ac:dyDescent="0.6">
      <c r="A151" s="91" t="s">
        <v>256</v>
      </c>
      <c r="B151" s="14">
        <v>50</v>
      </c>
      <c r="C151" s="14">
        <v>67</v>
      </c>
      <c r="D151" s="23" t="s">
        <v>37</v>
      </c>
      <c r="E151" s="22">
        <v>9</v>
      </c>
      <c r="F151" s="14" t="s">
        <v>36</v>
      </c>
      <c r="G151" s="14">
        <v>575.5</v>
      </c>
      <c r="H151" s="102">
        <f>Tabla2696[[#This Row],[Total cluster weight (g)]]/COUNTA(A147:A151)</f>
        <v>115.1</v>
      </c>
    </row>
    <row r="152" spans="1:9" x14ac:dyDescent="0.55000000000000004">
      <c r="A152" s="6" t="s">
        <v>279</v>
      </c>
      <c r="B152" s="9">
        <v>51</v>
      </c>
      <c r="C152" s="9">
        <v>60</v>
      </c>
      <c r="D152" s="21" t="s">
        <v>37</v>
      </c>
      <c r="E152" s="9">
        <v>10</v>
      </c>
      <c r="F152" s="9" t="s">
        <v>36</v>
      </c>
      <c r="G152" s="9"/>
      <c r="H152" s="88"/>
      <c r="I152" t="s">
        <v>56</v>
      </c>
    </row>
    <row r="153" spans="1:9" x14ac:dyDescent="0.55000000000000004">
      <c r="A153" s="8" t="s">
        <v>280</v>
      </c>
      <c r="B153" s="9">
        <v>53</v>
      </c>
      <c r="C153" s="9">
        <v>62</v>
      </c>
      <c r="D153" s="21" t="s">
        <v>37</v>
      </c>
      <c r="E153" s="9">
        <v>10</v>
      </c>
      <c r="F153" s="9" t="s">
        <v>36</v>
      </c>
      <c r="G153" s="9"/>
      <c r="H153" s="88"/>
    </row>
    <row r="154" spans="1:9" x14ac:dyDescent="0.55000000000000004">
      <c r="A154" s="10" t="s">
        <v>281</v>
      </c>
      <c r="B154" s="9">
        <v>53</v>
      </c>
      <c r="C154" s="9">
        <v>62</v>
      </c>
      <c r="D154" s="21" t="s">
        <v>37</v>
      </c>
      <c r="E154" s="9">
        <v>10</v>
      </c>
      <c r="F154" s="9" t="s">
        <v>36</v>
      </c>
      <c r="G154" s="9"/>
      <c r="H154" s="88"/>
    </row>
    <row r="155" spans="1:9" x14ac:dyDescent="0.55000000000000004">
      <c r="A155" s="11" t="s">
        <v>282</v>
      </c>
      <c r="B155" s="9">
        <v>55</v>
      </c>
      <c r="C155" s="9">
        <v>62</v>
      </c>
      <c r="D155" s="21" t="s">
        <v>37</v>
      </c>
      <c r="E155" s="9">
        <v>10</v>
      </c>
      <c r="F155" s="9" t="s">
        <v>36</v>
      </c>
      <c r="G155" s="9"/>
      <c r="H155" s="88"/>
    </row>
    <row r="156" spans="1:9" ht="14.7" thickBot="1" x14ac:dyDescent="0.6">
      <c r="A156" s="13" t="s">
        <v>283</v>
      </c>
      <c r="B156" s="14">
        <v>44</v>
      </c>
      <c r="C156" s="14">
        <v>47</v>
      </c>
      <c r="D156" s="23" t="s">
        <v>37</v>
      </c>
      <c r="E156" s="14">
        <v>10</v>
      </c>
      <c r="F156" s="14" t="s">
        <v>36</v>
      </c>
      <c r="G156" s="14">
        <v>495</v>
      </c>
      <c r="H156" s="102">
        <f>Tabla2696[[#This Row],[Total cluster weight (g)]]/COUNTA(A152:A156)</f>
        <v>99</v>
      </c>
    </row>
    <row r="157" spans="1:9" x14ac:dyDescent="0.55000000000000004">
      <c r="A157" s="29"/>
      <c r="B157" s="30"/>
      <c r="C157" s="30"/>
      <c r="D157" s="31"/>
      <c r="E157" s="30"/>
      <c r="F157" s="30"/>
      <c r="G157" s="30"/>
    </row>
    <row r="158" spans="1:9" x14ac:dyDescent="0.55000000000000004">
      <c r="A158" s="59" t="s">
        <v>192</v>
      </c>
      <c r="B158" s="55" t="s">
        <v>162</v>
      </c>
      <c r="C158" s="55" t="s">
        <v>163</v>
      </c>
      <c r="D158" s="55" t="s">
        <v>164</v>
      </c>
      <c r="E158" s="55" t="s">
        <v>165</v>
      </c>
      <c r="F158" s="56" t="s">
        <v>189</v>
      </c>
      <c r="G158" s="110" t="s">
        <v>230</v>
      </c>
    </row>
    <row r="159" spans="1:9" x14ac:dyDescent="0.55000000000000004">
      <c r="A159" s="60" t="s">
        <v>166</v>
      </c>
      <c r="B159" s="57">
        <f>AVERAGE(Tabla2696[Height (mm)])</f>
        <v>51.075471698113205</v>
      </c>
      <c r="C159" s="57">
        <f>AVERAGE(Tabla2696[Width (mm)])</f>
        <v>62.320754716981135</v>
      </c>
      <c r="D159" s="57">
        <f>MAX(Tabla2696[[Cluster number ]])</f>
        <v>10</v>
      </c>
      <c r="E159" s="57">
        <f>AVERAGE(Tabla2696[Tomato average weight per cluster])</f>
        <v>111.27875000000002</v>
      </c>
      <c r="F159" s="58">
        <f>COUNTA(Tabla2696["L3" PLANT])</f>
        <v>53</v>
      </c>
      <c r="G159" s="109">
        <f>SUM(Tabla2696[Total cluster weight (g)])</f>
        <v>5848</v>
      </c>
    </row>
    <row r="161" spans="1:9" ht="14.7" thickBot="1" x14ac:dyDescent="0.6">
      <c r="A161" s="5" t="s">
        <v>104</v>
      </c>
      <c r="B161" t="s">
        <v>3</v>
      </c>
      <c r="C161" t="s">
        <v>4</v>
      </c>
      <c r="D161" t="s">
        <v>5</v>
      </c>
      <c r="E161" t="s">
        <v>6</v>
      </c>
      <c r="F161" t="s">
        <v>7</v>
      </c>
      <c r="G161" t="s">
        <v>8</v>
      </c>
      <c r="H161" t="s">
        <v>161</v>
      </c>
    </row>
    <row r="162" spans="1:9" x14ac:dyDescent="0.55000000000000004">
      <c r="A162" s="6" t="s">
        <v>9</v>
      </c>
      <c r="B162" s="9">
        <v>48</v>
      </c>
      <c r="C162" s="9">
        <v>65</v>
      </c>
      <c r="D162" s="21" t="s">
        <v>37</v>
      </c>
      <c r="E162" s="9">
        <v>1</v>
      </c>
      <c r="F162" s="9" t="s">
        <v>35</v>
      </c>
      <c r="G162" s="9"/>
      <c r="H162" s="12"/>
    </row>
    <row r="163" spans="1:9" x14ac:dyDescent="0.55000000000000004">
      <c r="A163" s="8" t="s">
        <v>10</v>
      </c>
      <c r="B163" s="9">
        <v>51</v>
      </c>
      <c r="C163" s="9">
        <v>66</v>
      </c>
      <c r="D163" s="21" t="s">
        <v>37</v>
      </c>
      <c r="E163" s="9">
        <v>1</v>
      </c>
      <c r="F163" s="9" t="s">
        <v>35</v>
      </c>
      <c r="G163" s="9"/>
      <c r="H163" s="9"/>
    </row>
    <row r="164" spans="1:9" x14ac:dyDescent="0.55000000000000004">
      <c r="A164" s="10" t="s">
        <v>11</v>
      </c>
      <c r="B164" s="9">
        <v>49</v>
      </c>
      <c r="C164" s="9">
        <v>64</v>
      </c>
      <c r="D164" s="21" t="s">
        <v>37</v>
      </c>
      <c r="E164" s="9">
        <v>1</v>
      </c>
      <c r="F164" s="9" t="s">
        <v>36</v>
      </c>
      <c r="G164" s="9"/>
      <c r="H164" s="9"/>
    </row>
    <row r="165" spans="1:9" x14ac:dyDescent="0.55000000000000004">
      <c r="A165" s="11" t="s">
        <v>12</v>
      </c>
      <c r="B165" s="9">
        <v>48</v>
      </c>
      <c r="C165" s="9">
        <v>65</v>
      </c>
      <c r="D165" s="21" t="s">
        <v>37</v>
      </c>
      <c r="E165" s="9">
        <v>1</v>
      </c>
      <c r="F165" s="9" t="s">
        <v>36</v>
      </c>
      <c r="G165" s="9"/>
      <c r="H165" s="9"/>
    </row>
    <row r="166" spans="1:9" ht="14.7" thickBot="1" x14ac:dyDescent="0.6">
      <c r="A166" s="13" t="s">
        <v>13</v>
      </c>
      <c r="B166" s="14">
        <v>41</v>
      </c>
      <c r="C166" s="14">
        <v>53</v>
      </c>
      <c r="D166" s="23" t="s">
        <v>37</v>
      </c>
      <c r="E166" s="14">
        <v>1</v>
      </c>
      <c r="F166" s="14" t="s">
        <v>36</v>
      </c>
      <c r="G166" s="14">
        <v>521.5</v>
      </c>
      <c r="H166" s="14">
        <f>Tabla2697[[#This Row],[Total cluster weight (g)]]/COUNTA(A162:A166)</f>
        <v>104.3</v>
      </c>
    </row>
    <row r="167" spans="1:9" x14ac:dyDescent="0.55000000000000004">
      <c r="A167" s="6" t="s">
        <v>41</v>
      </c>
      <c r="B167" s="9">
        <v>52</v>
      </c>
      <c r="C167" s="9">
        <v>66</v>
      </c>
      <c r="D167" s="21" t="s">
        <v>37</v>
      </c>
      <c r="E167" s="9">
        <v>2</v>
      </c>
      <c r="F167" s="9" t="s">
        <v>36</v>
      </c>
      <c r="G167" s="9"/>
      <c r="H167" s="12"/>
    </row>
    <row r="168" spans="1:9" x14ac:dyDescent="0.55000000000000004">
      <c r="A168" s="8" t="s">
        <v>42</v>
      </c>
      <c r="B168" s="9">
        <v>53</v>
      </c>
      <c r="C168" s="9">
        <v>69</v>
      </c>
      <c r="D168" s="21" t="s">
        <v>37</v>
      </c>
      <c r="E168" s="9">
        <v>2</v>
      </c>
      <c r="F168" s="9" t="s">
        <v>36</v>
      </c>
      <c r="G168" s="9"/>
      <c r="H168" s="9"/>
    </row>
    <row r="169" spans="1:9" x14ac:dyDescent="0.55000000000000004">
      <c r="A169" s="10" t="s">
        <v>43</v>
      </c>
      <c r="B169" s="9">
        <v>48</v>
      </c>
      <c r="C169" s="9">
        <v>64</v>
      </c>
      <c r="D169" s="21" t="s">
        <v>37</v>
      </c>
      <c r="E169" s="9">
        <v>2</v>
      </c>
      <c r="F169" s="9" t="s">
        <v>36</v>
      </c>
      <c r="G169" s="9"/>
      <c r="H169" s="9"/>
    </row>
    <row r="170" spans="1:9" x14ac:dyDescent="0.55000000000000004">
      <c r="A170" s="10" t="s">
        <v>44</v>
      </c>
      <c r="B170" s="9">
        <v>48</v>
      </c>
      <c r="C170" s="9">
        <v>68</v>
      </c>
      <c r="D170" s="21">
        <v>123.5</v>
      </c>
      <c r="E170" s="9">
        <v>2</v>
      </c>
      <c r="F170" s="9" t="s">
        <v>36</v>
      </c>
      <c r="G170" s="9"/>
      <c r="H170" s="9"/>
      <c r="I170" t="s">
        <v>38</v>
      </c>
    </row>
    <row r="171" spans="1:9" ht="14.7" thickBot="1" x14ac:dyDescent="0.6">
      <c r="A171" s="35" t="s">
        <v>45</v>
      </c>
      <c r="B171" s="14">
        <v>50</v>
      </c>
      <c r="C171" s="14">
        <v>68</v>
      </c>
      <c r="D171" s="23">
        <v>133</v>
      </c>
      <c r="E171" s="14">
        <v>2</v>
      </c>
      <c r="F171" s="14" t="s">
        <v>36</v>
      </c>
      <c r="G171" s="14">
        <v>641</v>
      </c>
      <c r="H171" s="14">
        <f>Tabla2697[[#This Row],[Total cluster weight (g)]]/COUNTA(A167:A171)</f>
        <v>128.19999999999999</v>
      </c>
      <c r="I171" t="s">
        <v>38</v>
      </c>
    </row>
    <row r="172" spans="1:9" x14ac:dyDescent="0.55000000000000004">
      <c r="A172" s="6" t="s">
        <v>49</v>
      </c>
      <c r="B172" s="9">
        <v>53</v>
      </c>
      <c r="C172" s="9">
        <v>65</v>
      </c>
      <c r="D172" s="21" t="s">
        <v>37</v>
      </c>
      <c r="E172" s="9">
        <v>3</v>
      </c>
      <c r="F172" s="9" t="s">
        <v>36</v>
      </c>
      <c r="G172" s="9"/>
      <c r="H172" s="12"/>
    </row>
    <row r="173" spans="1:9" x14ac:dyDescent="0.55000000000000004">
      <c r="A173" s="8" t="s">
        <v>50</v>
      </c>
      <c r="B173" s="9">
        <v>54</v>
      </c>
      <c r="C173" s="9">
        <v>70</v>
      </c>
      <c r="D173" s="21" t="s">
        <v>37</v>
      </c>
      <c r="E173" s="9">
        <v>3</v>
      </c>
      <c r="F173" s="9" t="s">
        <v>36</v>
      </c>
      <c r="G173" s="9"/>
      <c r="H173" s="9"/>
    </row>
    <row r="174" spans="1:9" x14ac:dyDescent="0.55000000000000004">
      <c r="A174" s="10" t="s">
        <v>51</v>
      </c>
      <c r="B174" s="9">
        <v>53</v>
      </c>
      <c r="C174" s="9">
        <v>69</v>
      </c>
      <c r="D174" s="21" t="s">
        <v>37</v>
      </c>
      <c r="E174" s="9">
        <v>3</v>
      </c>
      <c r="F174" s="9" t="s">
        <v>36</v>
      </c>
      <c r="G174" s="9"/>
      <c r="H174" s="9"/>
    </row>
    <row r="175" spans="1:9" x14ac:dyDescent="0.55000000000000004">
      <c r="A175" s="34" t="s">
        <v>52</v>
      </c>
      <c r="B175" s="9">
        <v>53</v>
      </c>
      <c r="C175" s="9">
        <v>67</v>
      </c>
      <c r="D175" s="21" t="s">
        <v>37</v>
      </c>
      <c r="E175" s="9">
        <v>3</v>
      </c>
      <c r="F175" s="9" t="s">
        <v>36</v>
      </c>
      <c r="G175" s="9"/>
      <c r="H175" s="9"/>
    </row>
    <row r="176" spans="1:9" ht="14.7" thickBot="1" x14ac:dyDescent="0.6">
      <c r="A176" s="35" t="s">
        <v>53</v>
      </c>
      <c r="B176" s="14">
        <v>52</v>
      </c>
      <c r="C176" s="14">
        <v>73</v>
      </c>
      <c r="D176" s="23" t="s">
        <v>37</v>
      </c>
      <c r="E176" s="14">
        <v>3</v>
      </c>
      <c r="F176" s="14" t="s">
        <v>36</v>
      </c>
      <c r="G176" s="14">
        <v>691</v>
      </c>
      <c r="H176" s="14">
        <f>Tabla2697[[#This Row],[Total cluster weight (g)]]/COUNTA(A172:A176)</f>
        <v>138.19999999999999</v>
      </c>
    </row>
    <row r="177" spans="1:9" x14ac:dyDescent="0.55000000000000004">
      <c r="A177" s="6" t="s">
        <v>85</v>
      </c>
      <c r="B177" s="9">
        <v>55</v>
      </c>
      <c r="C177" s="9">
        <v>70</v>
      </c>
      <c r="D177" s="21" t="s">
        <v>37</v>
      </c>
      <c r="E177" s="9">
        <v>4</v>
      </c>
      <c r="F177" s="9" t="s">
        <v>36</v>
      </c>
      <c r="G177" s="9"/>
      <c r="H177" s="12"/>
      <c r="I177" t="s">
        <v>56</v>
      </c>
    </row>
    <row r="178" spans="1:9" x14ac:dyDescent="0.55000000000000004">
      <c r="A178" s="8" t="s">
        <v>74</v>
      </c>
      <c r="B178" s="9">
        <v>55</v>
      </c>
      <c r="C178" s="9">
        <v>68</v>
      </c>
      <c r="D178" s="21" t="s">
        <v>37</v>
      </c>
      <c r="E178" s="9">
        <v>4</v>
      </c>
      <c r="F178" s="9" t="s">
        <v>36</v>
      </c>
      <c r="G178" s="9"/>
      <c r="H178" s="9"/>
    </row>
    <row r="179" spans="1:9" x14ac:dyDescent="0.55000000000000004">
      <c r="A179" s="10" t="s">
        <v>86</v>
      </c>
      <c r="B179" s="9">
        <v>54</v>
      </c>
      <c r="C179" s="9">
        <v>69</v>
      </c>
      <c r="D179" s="21" t="s">
        <v>37</v>
      </c>
      <c r="E179" s="9">
        <v>4</v>
      </c>
      <c r="F179" s="9" t="s">
        <v>36</v>
      </c>
      <c r="G179" s="9"/>
      <c r="H179" s="9"/>
    </row>
    <row r="180" spans="1:9" x14ac:dyDescent="0.55000000000000004">
      <c r="A180" s="11" t="s">
        <v>67</v>
      </c>
      <c r="B180" s="9">
        <v>56</v>
      </c>
      <c r="C180" s="9">
        <v>72</v>
      </c>
      <c r="D180" s="21" t="s">
        <v>37</v>
      </c>
      <c r="E180" s="9">
        <v>4</v>
      </c>
      <c r="F180" s="9" t="s">
        <v>36</v>
      </c>
      <c r="G180" s="9"/>
      <c r="H180" s="9"/>
    </row>
    <row r="181" spans="1:9" ht="14.7" thickBot="1" x14ac:dyDescent="0.6">
      <c r="A181" s="13" t="s">
        <v>71</v>
      </c>
      <c r="B181" s="14">
        <v>54</v>
      </c>
      <c r="C181" s="14">
        <v>74</v>
      </c>
      <c r="D181" s="23" t="s">
        <v>37</v>
      </c>
      <c r="E181" s="14">
        <v>4</v>
      </c>
      <c r="F181" s="14" t="s">
        <v>36</v>
      </c>
      <c r="G181" s="14">
        <v>738.5</v>
      </c>
      <c r="H181" s="14">
        <f>Tabla2697[[#This Row],[Total cluster weight (g)]]/COUNTA(A177:A181)</f>
        <v>147.69999999999999</v>
      </c>
    </row>
    <row r="182" spans="1:9" x14ac:dyDescent="0.55000000000000004">
      <c r="A182" s="6" t="s">
        <v>89</v>
      </c>
      <c r="B182" s="9">
        <v>55</v>
      </c>
      <c r="C182" s="9">
        <v>69</v>
      </c>
      <c r="D182" s="21" t="s">
        <v>37</v>
      </c>
      <c r="E182" s="9">
        <v>5</v>
      </c>
      <c r="F182" s="9" t="s">
        <v>35</v>
      </c>
      <c r="G182" s="9"/>
      <c r="H182" s="12"/>
    </row>
    <row r="183" spans="1:9" x14ac:dyDescent="0.55000000000000004">
      <c r="A183" s="8" t="s">
        <v>92</v>
      </c>
      <c r="B183" s="9">
        <v>55</v>
      </c>
      <c r="C183" s="9">
        <v>70</v>
      </c>
      <c r="D183" s="21" t="s">
        <v>37</v>
      </c>
      <c r="E183" s="9">
        <v>5</v>
      </c>
      <c r="F183" s="9" t="s">
        <v>36</v>
      </c>
      <c r="G183" s="9"/>
      <c r="H183" s="9"/>
    </row>
    <row r="184" spans="1:9" x14ac:dyDescent="0.55000000000000004">
      <c r="A184" s="10" t="s">
        <v>93</v>
      </c>
      <c r="B184" s="9">
        <v>54</v>
      </c>
      <c r="C184" s="9">
        <v>72</v>
      </c>
      <c r="D184" s="21" t="s">
        <v>37</v>
      </c>
      <c r="E184" s="9">
        <v>5</v>
      </c>
      <c r="F184" s="9" t="s">
        <v>36</v>
      </c>
      <c r="G184" s="9"/>
      <c r="H184" s="9"/>
    </row>
    <row r="185" spans="1:9" ht="14.7" thickBot="1" x14ac:dyDescent="0.6">
      <c r="A185" s="13" t="s">
        <v>94</v>
      </c>
      <c r="B185" s="14">
        <v>54</v>
      </c>
      <c r="C185" s="14">
        <v>76</v>
      </c>
      <c r="D185" s="23" t="s">
        <v>37</v>
      </c>
      <c r="E185" s="14">
        <v>5</v>
      </c>
      <c r="F185" s="14" t="s">
        <v>36</v>
      </c>
      <c r="G185" s="14">
        <v>610</v>
      </c>
      <c r="H185" s="14">
        <f>Tabla2697[[#This Row],[Total cluster weight (g)]]/COUNTA(A182:A185)</f>
        <v>152.5</v>
      </c>
    </row>
    <row r="186" spans="1:9" x14ac:dyDescent="0.55000000000000004">
      <c r="A186" s="29" t="s">
        <v>95</v>
      </c>
      <c r="B186" s="9">
        <v>50</v>
      </c>
      <c r="C186" s="9">
        <v>73</v>
      </c>
      <c r="D186" s="21" t="s">
        <v>37</v>
      </c>
      <c r="E186" s="9">
        <v>6</v>
      </c>
      <c r="F186" s="9" t="s">
        <v>35</v>
      </c>
      <c r="G186" s="9"/>
      <c r="H186" s="88"/>
    </row>
    <row r="187" spans="1:9" x14ac:dyDescent="0.55000000000000004">
      <c r="A187" s="29" t="s">
        <v>144</v>
      </c>
      <c r="B187" s="9">
        <v>50</v>
      </c>
      <c r="C187" s="9">
        <v>68</v>
      </c>
      <c r="D187" s="21" t="s">
        <v>37</v>
      </c>
      <c r="E187" s="9">
        <v>6</v>
      </c>
      <c r="F187" s="9" t="s">
        <v>36</v>
      </c>
      <c r="G187" s="9"/>
      <c r="H187" s="88"/>
    </row>
    <row r="188" spans="1:9" x14ac:dyDescent="0.55000000000000004">
      <c r="A188" s="29" t="s">
        <v>150</v>
      </c>
      <c r="B188" s="9">
        <v>53</v>
      </c>
      <c r="C188" s="9">
        <v>69</v>
      </c>
      <c r="D188" s="21" t="s">
        <v>37</v>
      </c>
      <c r="E188" s="9">
        <v>6</v>
      </c>
      <c r="F188" s="9" t="s">
        <v>36</v>
      </c>
      <c r="G188" s="9"/>
      <c r="H188" s="88"/>
    </row>
    <row r="189" spans="1:9" x14ac:dyDescent="0.55000000000000004">
      <c r="A189" s="29" t="s">
        <v>151</v>
      </c>
      <c r="B189" s="9">
        <v>55</v>
      </c>
      <c r="C189" s="9">
        <v>70</v>
      </c>
      <c r="D189" s="21" t="s">
        <v>37</v>
      </c>
      <c r="E189" s="9">
        <v>6</v>
      </c>
      <c r="F189" s="9" t="s">
        <v>36</v>
      </c>
      <c r="G189" s="9"/>
      <c r="H189" s="88"/>
    </row>
    <row r="190" spans="1:9" ht="14.7" thickBot="1" x14ac:dyDescent="0.6">
      <c r="A190" s="29" t="s">
        <v>152</v>
      </c>
      <c r="B190" s="14">
        <v>57</v>
      </c>
      <c r="C190" s="14">
        <v>71</v>
      </c>
      <c r="D190" s="23" t="s">
        <v>37</v>
      </c>
      <c r="E190" s="14">
        <v>6</v>
      </c>
      <c r="F190" s="14" t="s">
        <v>36</v>
      </c>
      <c r="G190" s="14">
        <v>719</v>
      </c>
      <c r="H190" s="14">
        <f>Tabla2697[[#This Row],[Total cluster weight (g)]]/COUNTA(A186:A190)</f>
        <v>143.80000000000001</v>
      </c>
    </row>
    <row r="191" spans="1:9" x14ac:dyDescent="0.55000000000000004">
      <c r="A191" s="6" t="s">
        <v>153</v>
      </c>
      <c r="B191" s="12">
        <v>52</v>
      </c>
      <c r="C191" s="12">
        <v>66</v>
      </c>
      <c r="D191" s="28" t="s">
        <v>37</v>
      </c>
      <c r="E191" s="12">
        <v>7</v>
      </c>
      <c r="F191" s="12" t="s">
        <v>36</v>
      </c>
      <c r="G191" s="12"/>
      <c r="H191" s="93"/>
    </row>
    <row r="192" spans="1:9" x14ac:dyDescent="0.55000000000000004">
      <c r="A192" s="8" t="s">
        <v>158</v>
      </c>
      <c r="B192" s="9">
        <v>56</v>
      </c>
      <c r="C192" s="9">
        <v>72</v>
      </c>
      <c r="D192" s="21" t="s">
        <v>37</v>
      </c>
      <c r="E192" s="9">
        <v>7</v>
      </c>
      <c r="F192" s="9" t="s">
        <v>36</v>
      </c>
      <c r="G192" s="9"/>
      <c r="H192" s="88"/>
    </row>
    <row r="193" spans="1:9" x14ac:dyDescent="0.55000000000000004">
      <c r="A193" s="10" t="s">
        <v>215</v>
      </c>
      <c r="B193" s="9">
        <v>54</v>
      </c>
      <c r="C193" s="9">
        <v>65</v>
      </c>
      <c r="D193" s="21" t="s">
        <v>37</v>
      </c>
      <c r="E193" s="9">
        <v>7</v>
      </c>
      <c r="F193" s="9" t="s">
        <v>36</v>
      </c>
      <c r="G193" s="9"/>
      <c r="H193" s="88"/>
    </row>
    <row r="194" spans="1:9" x14ac:dyDescent="0.55000000000000004">
      <c r="A194" s="11" t="s">
        <v>216</v>
      </c>
      <c r="B194" s="9">
        <v>56</v>
      </c>
      <c r="C194" s="9">
        <v>69</v>
      </c>
      <c r="D194" s="21" t="s">
        <v>37</v>
      </c>
      <c r="E194" s="9">
        <v>7</v>
      </c>
      <c r="F194" s="9" t="s">
        <v>36</v>
      </c>
      <c r="G194" s="9"/>
      <c r="H194" s="88"/>
    </row>
    <row r="195" spans="1:9" ht="14.7" thickBot="1" x14ac:dyDescent="0.6">
      <c r="A195" s="13" t="s">
        <v>217</v>
      </c>
      <c r="B195" s="14">
        <v>54</v>
      </c>
      <c r="C195" s="14">
        <v>69</v>
      </c>
      <c r="D195" s="23" t="s">
        <v>37</v>
      </c>
      <c r="E195" s="14">
        <v>7</v>
      </c>
      <c r="F195" s="14" t="s">
        <v>36</v>
      </c>
      <c r="G195" s="14">
        <v>708</v>
      </c>
      <c r="H195" s="14">
        <f>Tabla2697[[#This Row],[Total cluster weight (g)]]/COUNTA(A191:A195)</f>
        <v>141.6</v>
      </c>
    </row>
    <row r="196" spans="1:9" x14ac:dyDescent="0.55000000000000004">
      <c r="A196" s="29" t="s">
        <v>218</v>
      </c>
      <c r="B196" s="9">
        <v>51</v>
      </c>
      <c r="C196" s="9">
        <v>67</v>
      </c>
      <c r="D196" s="21" t="s">
        <v>37</v>
      </c>
      <c r="E196" s="9">
        <v>8</v>
      </c>
      <c r="F196" s="9" t="s">
        <v>35</v>
      </c>
      <c r="G196" s="9"/>
      <c r="H196" s="88"/>
    </row>
    <row r="197" spans="1:9" x14ac:dyDescent="0.55000000000000004">
      <c r="A197" s="29" t="s">
        <v>219</v>
      </c>
      <c r="B197" s="9">
        <v>52</v>
      </c>
      <c r="C197" s="9">
        <v>70</v>
      </c>
      <c r="D197" s="21" t="s">
        <v>37</v>
      </c>
      <c r="E197" s="9">
        <v>8</v>
      </c>
      <c r="F197" s="9" t="s">
        <v>35</v>
      </c>
      <c r="G197" s="9"/>
      <c r="H197" s="88"/>
    </row>
    <row r="198" spans="1:9" x14ac:dyDescent="0.55000000000000004">
      <c r="A198" s="29" t="s">
        <v>222</v>
      </c>
      <c r="B198" s="9">
        <v>54</v>
      </c>
      <c r="C198" s="9">
        <v>70</v>
      </c>
      <c r="D198" s="21" t="s">
        <v>37</v>
      </c>
      <c r="E198" s="9">
        <v>8</v>
      </c>
      <c r="F198" s="9" t="s">
        <v>36</v>
      </c>
      <c r="G198" s="9"/>
      <c r="H198" s="88"/>
    </row>
    <row r="199" spans="1:9" x14ac:dyDescent="0.55000000000000004">
      <c r="A199" s="29" t="s">
        <v>223</v>
      </c>
      <c r="B199" s="9">
        <v>52</v>
      </c>
      <c r="C199" s="9">
        <v>66</v>
      </c>
      <c r="D199" s="21" t="s">
        <v>37</v>
      </c>
      <c r="E199" s="9">
        <v>8</v>
      </c>
      <c r="F199" s="9" t="s">
        <v>36</v>
      </c>
      <c r="G199" s="9"/>
      <c r="H199" s="88"/>
    </row>
    <row r="200" spans="1:9" ht="14.7" thickBot="1" x14ac:dyDescent="0.6">
      <c r="A200" s="91" t="s">
        <v>232</v>
      </c>
      <c r="B200" s="14">
        <v>56</v>
      </c>
      <c r="C200" s="14">
        <v>76</v>
      </c>
      <c r="D200" s="23" t="s">
        <v>37</v>
      </c>
      <c r="E200" s="14">
        <v>8</v>
      </c>
      <c r="F200" s="14" t="s">
        <v>36</v>
      </c>
      <c r="G200" s="14">
        <v>714.5</v>
      </c>
      <c r="H200" s="102">
        <f>Tabla2697[[#This Row],[Total cluster weight (g)]]/COUNTA(A196:A200)</f>
        <v>142.9</v>
      </c>
    </row>
    <row r="201" spans="1:9" x14ac:dyDescent="0.55000000000000004">
      <c r="A201" s="29" t="s">
        <v>233</v>
      </c>
      <c r="B201" s="9">
        <v>53</v>
      </c>
      <c r="C201" s="9">
        <v>68</v>
      </c>
      <c r="D201" s="21" t="s">
        <v>37</v>
      </c>
      <c r="E201" s="9">
        <v>9</v>
      </c>
      <c r="F201" s="9" t="s">
        <v>35</v>
      </c>
      <c r="G201" s="9"/>
      <c r="H201" s="88"/>
    </row>
    <row r="202" spans="1:9" x14ac:dyDescent="0.55000000000000004">
      <c r="A202" s="29" t="s">
        <v>234</v>
      </c>
      <c r="B202" s="9">
        <v>53</v>
      </c>
      <c r="C202" s="9">
        <v>70</v>
      </c>
      <c r="D202" s="21" t="s">
        <v>37</v>
      </c>
      <c r="E202" s="9">
        <v>9</v>
      </c>
      <c r="F202" s="9" t="s">
        <v>36</v>
      </c>
      <c r="G202" s="9"/>
      <c r="H202" s="88"/>
    </row>
    <row r="203" spans="1:9" x14ac:dyDescent="0.55000000000000004">
      <c r="A203" s="29" t="s">
        <v>235</v>
      </c>
      <c r="B203" s="9">
        <v>51</v>
      </c>
      <c r="C203" s="9">
        <v>68</v>
      </c>
      <c r="D203" s="21" t="s">
        <v>37</v>
      </c>
      <c r="E203" s="9">
        <v>9</v>
      </c>
      <c r="F203" s="9" t="s">
        <v>36</v>
      </c>
      <c r="G203" s="9"/>
      <c r="H203" s="88"/>
    </row>
    <row r="204" spans="1:9" x14ac:dyDescent="0.55000000000000004">
      <c r="A204" s="29" t="s">
        <v>236</v>
      </c>
      <c r="B204" s="9">
        <v>56</v>
      </c>
      <c r="C204" s="9">
        <v>73</v>
      </c>
      <c r="D204" s="21" t="s">
        <v>37</v>
      </c>
      <c r="E204" s="9">
        <v>9</v>
      </c>
      <c r="F204" s="9" t="s">
        <v>36</v>
      </c>
      <c r="G204" s="9"/>
      <c r="H204" s="88"/>
    </row>
    <row r="205" spans="1:9" ht="14.7" thickBot="1" x14ac:dyDescent="0.6">
      <c r="A205" s="91" t="s">
        <v>248</v>
      </c>
      <c r="B205" s="14">
        <v>53</v>
      </c>
      <c r="C205" s="14">
        <v>73</v>
      </c>
      <c r="D205" s="23" t="s">
        <v>37</v>
      </c>
      <c r="E205" s="14">
        <v>9</v>
      </c>
      <c r="F205" s="14" t="s">
        <v>36</v>
      </c>
      <c r="G205" s="14">
        <v>732.5</v>
      </c>
      <c r="H205" s="102">
        <f>Tabla2697[[#This Row],[Total cluster weight (g)]]/COUNTA(A201:A205)</f>
        <v>146.5</v>
      </c>
    </row>
    <row r="206" spans="1:9" x14ac:dyDescent="0.55000000000000004">
      <c r="A206" s="6" t="s">
        <v>268</v>
      </c>
      <c r="B206" s="9">
        <v>53</v>
      </c>
      <c r="C206" s="9">
        <v>66</v>
      </c>
      <c r="D206" s="21" t="s">
        <v>37</v>
      </c>
      <c r="E206" s="9">
        <v>10</v>
      </c>
      <c r="F206" s="9" t="s">
        <v>36</v>
      </c>
      <c r="G206" s="9"/>
      <c r="H206" s="88"/>
      <c r="I206" t="s">
        <v>56</v>
      </c>
    </row>
    <row r="207" spans="1:9" x14ac:dyDescent="0.55000000000000004">
      <c r="A207" s="8" t="s">
        <v>269</v>
      </c>
      <c r="B207" s="9">
        <v>55</v>
      </c>
      <c r="C207" s="9">
        <v>67</v>
      </c>
      <c r="D207" s="21" t="s">
        <v>37</v>
      </c>
      <c r="E207" s="9">
        <v>10</v>
      </c>
      <c r="F207" s="9" t="s">
        <v>36</v>
      </c>
      <c r="G207" s="9"/>
      <c r="H207" s="88"/>
    </row>
    <row r="208" spans="1:9" x14ac:dyDescent="0.55000000000000004">
      <c r="A208" s="10" t="s">
        <v>284</v>
      </c>
      <c r="B208" s="9">
        <v>55</v>
      </c>
      <c r="C208" s="9">
        <v>70</v>
      </c>
      <c r="D208" s="21" t="s">
        <v>37</v>
      </c>
      <c r="E208" s="9">
        <v>10</v>
      </c>
      <c r="F208" s="9" t="s">
        <v>36</v>
      </c>
      <c r="G208" s="9"/>
      <c r="H208" s="88"/>
    </row>
    <row r="209" spans="1:9" x14ac:dyDescent="0.55000000000000004">
      <c r="A209" s="11" t="s">
        <v>256</v>
      </c>
      <c r="B209" s="9">
        <v>55</v>
      </c>
      <c r="C209" s="9">
        <v>67</v>
      </c>
      <c r="D209" s="21" t="s">
        <v>37</v>
      </c>
      <c r="E209" s="9">
        <v>10</v>
      </c>
      <c r="F209" s="9" t="s">
        <v>36</v>
      </c>
      <c r="G209" s="9"/>
      <c r="H209" s="88"/>
    </row>
    <row r="210" spans="1:9" ht="14.7" thickBot="1" x14ac:dyDescent="0.6">
      <c r="A210" s="13" t="s">
        <v>260</v>
      </c>
      <c r="B210" s="14">
        <v>54</v>
      </c>
      <c r="C210" s="14">
        <v>68</v>
      </c>
      <c r="D210" s="23" t="s">
        <v>37</v>
      </c>
      <c r="E210" s="14">
        <v>10</v>
      </c>
      <c r="F210" s="14" t="s">
        <v>36</v>
      </c>
      <c r="G210" s="14">
        <v>697</v>
      </c>
      <c r="H210" s="102">
        <f>Tabla2697[[#This Row],[Total cluster weight (g)]]/COUNTA(A206:A210)</f>
        <v>139.4</v>
      </c>
    </row>
    <row r="211" spans="1:9" x14ac:dyDescent="0.55000000000000004">
      <c r="A211" s="29"/>
      <c r="B211" s="30"/>
      <c r="C211" s="30"/>
      <c r="D211" s="31"/>
      <c r="E211" s="30"/>
      <c r="F211" s="30"/>
      <c r="G211" s="30"/>
    </row>
    <row r="212" spans="1:9" x14ac:dyDescent="0.55000000000000004">
      <c r="A212" s="59" t="s">
        <v>193</v>
      </c>
      <c r="B212" s="55" t="s">
        <v>162</v>
      </c>
      <c r="C212" s="55" t="s">
        <v>163</v>
      </c>
      <c r="D212" s="55" t="s">
        <v>164</v>
      </c>
      <c r="E212" s="55" t="s">
        <v>165</v>
      </c>
      <c r="F212" s="56" t="s">
        <v>189</v>
      </c>
      <c r="G212" s="110" t="s">
        <v>230</v>
      </c>
    </row>
    <row r="213" spans="1:9" x14ac:dyDescent="0.55000000000000004">
      <c r="A213" s="60" t="s">
        <v>166</v>
      </c>
      <c r="B213" s="57">
        <f>AVERAGE(Tabla2697[Height (mm)])</f>
        <v>52.755102040816325</v>
      </c>
      <c r="C213" s="57">
        <f>AVERAGE(Tabla2697[Width (mm)])</f>
        <v>68.632653061224488</v>
      </c>
      <c r="D213" s="57">
        <f>MAX(Tabla2697[[Cluster number ]])</f>
        <v>10</v>
      </c>
      <c r="E213" s="57">
        <f>AVERAGE(Tabla2697[Tomato average weight per cluster])</f>
        <v>138.51000000000002</v>
      </c>
      <c r="F213" s="58">
        <f>COUNTA(Tabla2697["L4" PLANT])</f>
        <v>49</v>
      </c>
      <c r="G213" s="109">
        <f>SUM(Tabla2697[Total cluster weight (g)])</f>
        <v>6773</v>
      </c>
    </row>
    <row r="215" spans="1:9" ht="14.7" thickBot="1" x14ac:dyDescent="0.6">
      <c r="A215" s="5" t="s">
        <v>105</v>
      </c>
      <c r="B215" t="s">
        <v>3</v>
      </c>
      <c r="C215" t="s">
        <v>4</v>
      </c>
      <c r="D215" t="s">
        <v>5</v>
      </c>
      <c r="E215" t="s">
        <v>6</v>
      </c>
      <c r="F215" t="s">
        <v>7</v>
      </c>
      <c r="G215" t="s">
        <v>8</v>
      </c>
      <c r="H215" t="s">
        <v>161</v>
      </c>
    </row>
    <row r="216" spans="1:9" x14ac:dyDescent="0.55000000000000004">
      <c r="A216" s="6" t="s">
        <v>9</v>
      </c>
      <c r="B216" s="7">
        <v>52</v>
      </c>
      <c r="C216" s="7">
        <v>63</v>
      </c>
      <c r="D216" s="21" t="s">
        <v>37</v>
      </c>
      <c r="E216" s="9">
        <v>1</v>
      </c>
      <c r="F216" s="9" t="s">
        <v>36</v>
      </c>
      <c r="G216" s="9"/>
      <c r="H216" s="12"/>
    </row>
    <row r="217" spans="1:9" x14ac:dyDescent="0.55000000000000004">
      <c r="A217" s="8" t="s">
        <v>10</v>
      </c>
      <c r="B217" s="9">
        <v>53</v>
      </c>
      <c r="C217" s="9">
        <v>68</v>
      </c>
      <c r="D217" s="21" t="s">
        <v>37</v>
      </c>
      <c r="E217" s="9">
        <v>1</v>
      </c>
      <c r="F217" s="9" t="s">
        <v>36</v>
      </c>
      <c r="G217" s="9"/>
      <c r="H217" s="9"/>
    </row>
    <row r="218" spans="1:9" ht="14.7" thickBot="1" x14ac:dyDescent="0.6">
      <c r="A218" s="10" t="s">
        <v>11</v>
      </c>
      <c r="B218" s="14">
        <v>49</v>
      </c>
      <c r="C218" s="14">
        <v>65</v>
      </c>
      <c r="D218" s="23" t="s">
        <v>37</v>
      </c>
      <c r="E218" s="14">
        <v>1</v>
      </c>
      <c r="F218" s="14" t="s">
        <v>36</v>
      </c>
      <c r="G218" s="14">
        <v>352.5</v>
      </c>
      <c r="H218" s="14">
        <f>Tabla2698[[#This Row],[Total cluster weight (g)]]/COUNTA(A216:A218)</f>
        <v>117.5</v>
      </c>
    </row>
    <row r="219" spans="1:9" x14ac:dyDescent="0.55000000000000004">
      <c r="A219" s="6" t="s">
        <v>12</v>
      </c>
      <c r="B219" s="7">
        <v>47</v>
      </c>
      <c r="C219" s="7">
        <v>60</v>
      </c>
      <c r="D219" s="21" t="s">
        <v>37</v>
      </c>
      <c r="E219" s="9">
        <v>2</v>
      </c>
      <c r="F219" s="9" t="s">
        <v>36</v>
      </c>
      <c r="G219" s="9"/>
      <c r="H219" s="12"/>
    </row>
    <row r="220" spans="1:9" x14ac:dyDescent="0.55000000000000004">
      <c r="A220" s="8" t="s">
        <v>13</v>
      </c>
      <c r="B220" s="9">
        <v>48</v>
      </c>
      <c r="C220" s="9">
        <v>61</v>
      </c>
      <c r="D220" s="21" t="s">
        <v>37</v>
      </c>
      <c r="E220" s="9">
        <v>2</v>
      </c>
      <c r="F220" s="9" t="s">
        <v>36</v>
      </c>
      <c r="G220" s="9"/>
      <c r="H220" s="9"/>
    </row>
    <row r="221" spans="1:9" x14ac:dyDescent="0.55000000000000004">
      <c r="A221" s="10" t="s">
        <v>41</v>
      </c>
      <c r="B221" s="9">
        <v>49</v>
      </c>
      <c r="C221" s="9">
        <v>62</v>
      </c>
      <c r="D221" s="21" t="s">
        <v>37</v>
      </c>
      <c r="E221" s="9">
        <v>2</v>
      </c>
      <c r="F221" s="9" t="s">
        <v>36</v>
      </c>
      <c r="G221" s="9"/>
      <c r="H221" s="9"/>
    </row>
    <row r="222" spans="1:9" x14ac:dyDescent="0.55000000000000004">
      <c r="A222" s="34" t="s">
        <v>123</v>
      </c>
      <c r="B222" s="9">
        <v>48</v>
      </c>
      <c r="C222" s="9">
        <v>66</v>
      </c>
      <c r="D222" s="21">
        <v>116.5</v>
      </c>
      <c r="E222" s="12">
        <v>2</v>
      </c>
      <c r="F222" s="12" t="s">
        <v>36</v>
      </c>
      <c r="G222" s="9"/>
      <c r="H222" s="9"/>
      <c r="I222" t="s">
        <v>38</v>
      </c>
    </row>
    <row r="223" spans="1:9" ht="14.7" thickBot="1" x14ac:dyDescent="0.6">
      <c r="A223" s="35" t="s">
        <v>124</v>
      </c>
      <c r="B223" s="14">
        <v>41</v>
      </c>
      <c r="C223" s="14">
        <v>63</v>
      </c>
      <c r="D223" s="23">
        <v>105.5</v>
      </c>
      <c r="E223" s="14">
        <v>2</v>
      </c>
      <c r="F223" s="14" t="s">
        <v>36</v>
      </c>
      <c r="G223" s="14">
        <v>523</v>
      </c>
      <c r="H223" s="14">
        <f>Tabla2698[[#This Row],[Total cluster weight (g)]]/COUNTA(A219:A223)</f>
        <v>104.6</v>
      </c>
      <c r="I223" t="s">
        <v>38</v>
      </c>
    </row>
    <row r="224" spans="1:9" x14ac:dyDescent="0.55000000000000004">
      <c r="A224" s="6" t="s">
        <v>47</v>
      </c>
      <c r="B224" s="7">
        <v>52</v>
      </c>
      <c r="C224" s="7">
        <v>63</v>
      </c>
      <c r="D224" s="28" t="s">
        <v>37</v>
      </c>
      <c r="E224" s="12">
        <v>3</v>
      </c>
      <c r="F224" s="9" t="s">
        <v>35</v>
      </c>
      <c r="G224" s="9"/>
      <c r="H224" s="12"/>
    </row>
    <row r="225" spans="1:9" x14ac:dyDescent="0.55000000000000004">
      <c r="A225" s="10" t="s">
        <v>48</v>
      </c>
      <c r="B225" s="9">
        <v>53</v>
      </c>
      <c r="C225" s="9">
        <v>65</v>
      </c>
      <c r="D225" s="28" t="s">
        <v>37</v>
      </c>
      <c r="E225" s="12">
        <v>3</v>
      </c>
      <c r="F225" s="9" t="s">
        <v>35</v>
      </c>
      <c r="G225" s="9"/>
      <c r="H225" s="9"/>
    </row>
    <row r="226" spans="1:9" x14ac:dyDescent="0.55000000000000004">
      <c r="A226" s="10" t="s">
        <v>49</v>
      </c>
      <c r="B226" s="9">
        <v>51</v>
      </c>
      <c r="C226" s="9">
        <v>62</v>
      </c>
      <c r="D226" s="28" t="s">
        <v>37</v>
      </c>
      <c r="E226" s="12">
        <v>3</v>
      </c>
      <c r="F226" s="12" t="s">
        <v>36</v>
      </c>
      <c r="G226" s="9"/>
      <c r="H226" s="9"/>
    </row>
    <row r="227" spans="1:9" x14ac:dyDescent="0.55000000000000004">
      <c r="A227" s="34" t="s">
        <v>50</v>
      </c>
      <c r="B227" s="12">
        <v>55</v>
      </c>
      <c r="C227" s="12">
        <v>66</v>
      </c>
      <c r="D227" s="28" t="s">
        <v>37</v>
      </c>
      <c r="E227" s="12">
        <v>3</v>
      </c>
      <c r="F227" s="12" t="s">
        <v>36</v>
      </c>
      <c r="G227" s="9"/>
      <c r="H227" s="9"/>
    </row>
    <row r="228" spans="1:9" ht="14.7" thickBot="1" x14ac:dyDescent="0.6">
      <c r="A228" s="35" t="s">
        <v>51</v>
      </c>
      <c r="B228" s="14">
        <v>49</v>
      </c>
      <c r="C228" s="14">
        <v>65</v>
      </c>
      <c r="D228" s="23" t="s">
        <v>37</v>
      </c>
      <c r="E228" s="14">
        <v>3</v>
      </c>
      <c r="F228" s="14" t="s">
        <v>36</v>
      </c>
      <c r="G228" s="14">
        <v>572.5</v>
      </c>
      <c r="H228" s="14">
        <f>Tabla2698[[#This Row],[Total cluster weight (g)]]/COUNTA(A224:A228)</f>
        <v>114.5</v>
      </c>
    </row>
    <row r="229" spans="1:9" x14ac:dyDescent="0.55000000000000004">
      <c r="A229" s="6" t="s">
        <v>87</v>
      </c>
      <c r="B229" s="7">
        <v>46</v>
      </c>
      <c r="C229" s="7">
        <v>61</v>
      </c>
      <c r="D229" s="21" t="s">
        <v>37</v>
      </c>
      <c r="E229" s="9">
        <v>4</v>
      </c>
      <c r="F229" s="9" t="s">
        <v>36</v>
      </c>
      <c r="G229" s="9"/>
      <c r="H229" s="12"/>
      <c r="I229" t="s">
        <v>56</v>
      </c>
    </row>
    <row r="230" spans="1:9" x14ac:dyDescent="0.55000000000000004">
      <c r="A230" s="8" t="s">
        <v>88</v>
      </c>
      <c r="B230" s="9">
        <v>50</v>
      </c>
      <c r="C230" s="9">
        <v>63</v>
      </c>
      <c r="D230" s="21" t="s">
        <v>37</v>
      </c>
      <c r="E230" s="9">
        <v>4</v>
      </c>
      <c r="F230" s="9" t="s">
        <v>36</v>
      </c>
      <c r="G230" s="9"/>
      <c r="H230" s="9"/>
    </row>
    <row r="231" spans="1:9" x14ac:dyDescent="0.55000000000000004">
      <c r="A231" s="10" t="s">
        <v>73</v>
      </c>
      <c r="B231" s="9">
        <v>50</v>
      </c>
      <c r="C231" s="9">
        <v>62</v>
      </c>
      <c r="D231" s="21" t="s">
        <v>37</v>
      </c>
      <c r="E231" s="9">
        <v>4</v>
      </c>
      <c r="F231" s="9" t="s">
        <v>36</v>
      </c>
      <c r="G231" s="9"/>
      <c r="H231" s="9"/>
    </row>
    <row r="232" spans="1:9" x14ac:dyDescent="0.55000000000000004">
      <c r="A232" s="11" t="s">
        <v>81</v>
      </c>
      <c r="B232" s="12">
        <v>51</v>
      </c>
      <c r="C232" s="12">
        <v>64</v>
      </c>
      <c r="D232" s="21" t="s">
        <v>37</v>
      </c>
      <c r="E232" s="9">
        <v>4</v>
      </c>
      <c r="F232" s="9" t="s">
        <v>36</v>
      </c>
      <c r="G232" s="9"/>
      <c r="H232" s="9"/>
    </row>
    <row r="233" spans="1:9" ht="14.7" thickBot="1" x14ac:dyDescent="0.6">
      <c r="A233" s="13" t="s">
        <v>66</v>
      </c>
      <c r="B233" s="14">
        <v>50</v>
      </c>
      <c r="C233" s="14">
        <v>62</v>
      </c>
      <c r="D233" s="23" t="s">
        <v>37</v>
      </c>
      <c r="E233" s="14">
        <v>4</v>
      </c>
      <c r="F233" s="14" t="s">
        <v>36</v>
      </c>
      <c r="G233" s="14">
        <v>527.5</v>
      </c>
      <c r="H233" s="14">
        <f>Tabla2698[[#This Row],[Total cluster weight (g)]]/COUNTA(A229:A233)</f>
        <v>105.5</v>
      </c>
    </row>
    <row r="234" spans="1:9" x14ac:dyDescent="0.55000000000000004">
      <c r="A234" s="11" t="s">
        <v>67</v>
      </c>
      <c r="B234" s="12">
        <v>51</v>
      </c>
      <c r="C234" s="12">
        <v>61</v>
      </c>
      <c r="D234" s="28" t="s">
        <v>37</v>
      </c>
      <c r="E234" s="12">
        <v>5</v>
      </c>
      <c r="F234" s="12" t="s">
        <v>68</v>
      </c>
      <c r="G234" s="12"/>
      <c r="H234" s="5"/>
    </row>
    <row r="235" spans="1:9" x14ac:dyDescent="0.55000000000000004">
      <c r="A235" s="8" t="s">
        <v>71</v>
      </c>
      <c r="B235" s="9">
        <v>50</v>
      </c>
      <c r="C235" s="9">
        <v>64</v>
      </c>
      <c r="D235" s="21" t="s">
        <v>37</v>
      </c>
      <c r="E235" s="9">
        <v>5</v>
      </c>
      <c r="F235" s="9" t="s">
        <v>35</v>
      </c>
      <c r="G235" s="9"/>
      <c r="H235" s="5"/>
    </row>
    <row r="236" spans="1:9" x14ac:dyDescent="0.55000000000000004">
      <c r="A236" s="10" t="s">
        <v>89</v>
      </c>
      <c r="B236" s="9">
        <v>55</v>
      </c>
      <c r="C236" s="9">
        <v>67</v>
      </c>
      <c r="D236" s="21" t="s">
        <v>37</v>
      </c>
      <c r="E236" s="9">
        <v>5</v>
      </c>
      <c r="F236" s="9" t="s">
        <v>36</v>
      </c>
      <c r="G236" s="9"/>
      <c r="H236" s="5"/>
    </row>
    <row r="237" spans="1:9" x14ac:dyDescent="0.55000000000000004">
      <c r="A237" s="11" t="s">
        <v>92</v>
      </c>
      <c r="B237" s="12">
        <v>55</v>
      </c>
      <c r="C237" s="12">
        <v>71</v>
      </c>
      <c r="D237" s="21" t="s">
        <v>37</v>
      </c>
      <c r="E237" s="9">
        <v>5</v>
      </c>
      <c r="F237" s="9" t="s">
        <v>36</v>
      </c>
      <c r="G237" s="9"/>
      <c r="H237" s="5"/>
    </row>
    <row r="238" spans="1:9" ht="14.7" thickBot="1" x14ac:dyDescent="0.6">
      <c r="A238" s="13" t="s">
        <v>93</v>
      </c>
      <c r="B238" s="14">
        <v>54</v>
      </c>
      <c r="C238" s="14">
        <v>71</v>
      </c>
      <c r="D238" s="23" t="s">
        <v>37</v>
      </c>
      <c r="E238" s="14">
        <v>5</v>
      </c>
      <c r="F238" s="14" t="s">
        <v>36</v>
      </c>
      <c r="G238" s="14">
        <v>628.5</v>
      </c>
      <c r="H238" s="14">
        <f>Tabla2698[[#This Row],[Total cluster weight (g)]]/COUNTA(A234:A238)</f>
        <v>125.7</v>
      </c>
    </row>
    <row r="239" spans="1:9" x14ac:dyDescent="0.55000000000000004">
      <c r="A239" s="6" t="s">
        <v>94</v>
      </c>
      <c r="B239" s="7">
        <v>48</v>
      </c>
      <c r="C239" s="7">
        <v>59</v>
      </c>
      <c r="D239" s="21" t="s">
        <v>37</v>
      </c>
      <c r="E239" s="9">
        <v>6</v>
      </c>
      <c r="F239" s="9" t="s">
        <v>35</v>
      </c>
      <c r="G239" s="9"/>
      <c r="H239" s="92"/>
    </row>
    <row r="240" spans="1:9" x14ac:dyDescent="0.55000000000000004">
      <c r="A240" s="8" t="s">
        <v>95</v>
      </c>
      <c r="B240" s="9">
        <v>49</v>
      </c>
      <c r="C240" s="9">
        <v>60</v>
      </c>
      <c r="D240" s="21" t="s">
        <v>37</v>
      </c>
      <c r="E240" s="9">
        <v>6</v>
      </c>
      <c r="F240" s="9" t="s">
        <v>36</v>
      </c>
      <c r="G240" s="9"/>
      <c r="H240" s="92"/>
    </row>
    <row r="241" spans="1:8" x14ac:dyDescent="0.55000000000000004">
      <c r="A241" s="10" t="s">
        <v>144</v>
      </c>
      <c r="B241" s="9">
        <v>49</v>
      </c>
      <c r="C241" s="9">
        <v>62</v>
      </c>
      <c r="D241" s="21" t="s">
        <v>37</v>
      </c>
      <c r="E241" s="9">
        <v>6</v>
      </c>
      <c r="F241" s="9" t="s">
        <v>36</v>
      </c>
      <c r="G241" s="9"/>
      <c r="H241" s="92"/>
    </row>
    <row r="242" spans="1:8" x14ac:dyDescent="0.55000000000000004">
      <c r="A242" s="11" t="s">
        <v>150</v>
      </c>
      <c r="B242" s="12">
        <v>50</v>
      </c>
      <c r="C242" s="12">
        <v>62</v>
      </c>
      <c r="D242" s="21" t="s">
        <v>37</v>
      </c>
      <c r="E242" s="9">
        <v>6</v>
      </c>
      <c r="F242" s="9" t="s">
        <v>36</v>
      </c>
      <c r="G242" s="9"/>
      <c r="H242" s="92"/>
    </row>
    <row r="243" spans="1:8" ht="14.7" thickBot="1" x14ac:dyDescent="0.6">
      <c r="A243" s="13" t="s">
        <v>151</v>
      </c>
      <c r="B243" s="14">
        <v>49</v>
      </c>
      <c r="C243" s="14">
        <v>62</v>
      </c>
      <c r="D243" s="23" t="s">
        <v>37</v>
      </c>
      <c r="E243" s="14">
        <v>6</v>
      </c>
      <c r="F243" s="14" t="s">
        <v>36</v>
      </c>
      <c r="G243" s="14">
        <v>513</v>
      </c>
      <c r="H243" s="14">
        <f>Tabla2698[[#This Row],[Total cluster weight (g)]]/COUNTA(A239:A243)</f>
        <v>102.6</v>
      </c>
    </row>
    <row r="244" spans="1:8" x14ac:dyDescent="0.55000000000000004">
      <c r="A244" s="6" t="s">
        <v>152</v>
      </c>
      <c r="B244" s="7">
        <v>51</v>
      </c>
      <c r="C244" s="7">
        <v>66</v>
      </c>
      <c r="D244" s="21" t="s">
        <v>37</v>
      </c>
      <c r="E244" s="9">
        <v>7</v>
      </c>
      <c r="F244" s="9" t="s">
        <v>35</v>
      </c>
      <c r="G244" s="9"/>
      <c r="H244" s="92"/>
    </row>
    <row r="245" spans="1:8" x14ac:dyDescent="0.55000000000000004">
      <c r="A245" s="8" t="s">
        <v>153</v>
      </c>
      <c r="B245" s="9">
        <v>51</v>
      </c>
      <c r="C245" s="9">
        <v>63</v>
      </c>
      <c r="D245" s="21" t="s">
        <v>37</v>
      </c>
      <c r="E245" s="9">
        <v>7</v>
      </c>
      <c r="F245" s="9" t="s">
        <v>35</v>
      </c>
      <c r="G245" s="9"/>
      <c r="H245" s="92"/>
    </row>
    <row r="246" spans="1:8" x14ac:dyDescent="0.55000000000000004">
      <c r="A246" s="10" t="s">
        <v>158</v>
      </c>
      <c r="B246" s="9">
        <v>53</v>
      </c>
      <c r="C246" s="9">
        <v>66</v>
      </c>
      <c r="D246" s="21" t="s">
        <v>37</v>
      </c>
      <c r="E246" s="9">
        <v>7</v>
      </c>
      <c r="F246" s="9" t="s">
        <v>36</v>
      </c>
      <c r="G246" s="9"/>
      <c r="H246" s="92"/>
    </row>
    <row r="247" spans="1:8" x14ac:dyDescent="0.55000000000000004">
      <c r="A247" s="11" t="s">
        <v>215</v>
      </c>
      <c r="B247" s="12">
        <v>54</v>
      </c>
      <c r="C247" s="12">
        <v>67</v>
      </c>
      <c r="D247" s="21" t="s">
        <v>37</v>
      </c>
      <c r="E247" s="9">
        <v>7</v>
      </c>
      <c r="F247" s="9" t="s">
        <v>36</v>
      </c>
      <c r="G247" s="9"/>
      <c r="H247" s="92"/>
    </row>
    <row r="248" spans="1:8" ht="14.7" thickBot="1" x14ac:dyDescent="0.6">
      <c r="A248" s="13" t="s">
        <v>216</v>
      </c>
      <c r="B248" s="14">
        <v>52</v>
      </c>
      <c r="C248" s="14">
        <v>61</v>
      </c>
      <c r="D248" s="23" t="s">
        <v>37</v>
      </c>
      <c r="E248" s="14">
        <v>7</v>
      </c>
      <c r="F248" s="14" t="s">
        <v>36</v>
      </c>
      <c r="G248" s="14">
        <v>595</v>
      </c>
      <c r="H248" s="14">
        <f>Tabla2698[[#This Row],[Total cluster weight (g)]]/COUNTA(A244:A248)</f>
        <v>119</v>
      </c>
    </row>
    <row r="249" spans="1:8" x14ac:dyDescent="0.55000000000000004">
      <c r="A249" s="34" t="s">
        <v>217</v>
      </c>
      <c r="B249" s="12">
        <v>55</v>
      </c>
      <c r="C249" s="12">
        <v>70</v>
      </c>
      <c r="D249" s="28" t="s">
        <v>37</v>
      </c>
      <c r="E249" s="12">
        <v>8</v>
      </c>
      <c r="F249" s="12" t="s">
        <v>35</v>
      </c>
      <c r="G249" s="12"/>
      <c r="H249" s="92"/>
    </row>
    <row r="250" spans="1:8" x14ac:dyDescent="0.55000000000000004">
      <c r="A250" s="10" t="s">
        <v>218</v>
      </c>
      <c r="B250" s="9">
        <v>55</v>
      </c>
      <c r="C250" s="9">
        <v>69</v>
      </c>
      <c r="D250" s="21" t="s">
        <v>37</v>
      </c>
      <c r="E250" s="9">
        <v>8</v>
      </c>
      <c r="F250" s="9" t="s">
        <v>35</v>
      </c>
      <c r="G250" s="9"/>
      <c r="H250" s="92"/>
    </row>
    <row r="251" spans="1:8" x14ac:dyDescent="0.55000000000000004">
      <c r="A251" s="10" t="s">
        <v>219</v>
      </c>
      <c r="B251" s="9">
        <v>56</v>
      </c>
      <c r="C251" s="9">
        <v>66</v>
      </c>
      <c r="D251" s="21" t="s">
        <v>37</v>
      </c>
      <c r="E251" s="9">
        <v>8</v>
      </c>
      <c r="F251" s="9" t="s">
        <v>35</v>
      </c>
      <c r="G251" s="9"/>
      <c r="H251" s="92"/>
    </row>
    <row r="252" spans="1:8" ht="14.7" thickBot="1" x14ac:dyDescent="0.6">
      <c r="A252" s="35" t="s">
        <v>222</v>
      </c>
      <c r="B252" s="14">
        <v>54</v>
      </c>
      <c r="C252" s="14">
        <v>71</v>
      </c>
      <c r="D252" s="23" t="s">
        <v>37</v>
      </c>
      <c r="E252" s="14">
        <v>8</v>
      </c>
      <c r="F252" s="14" t="s">
        <v>35</v>
      </c>
      <c r="G252" s="14">
        <v>586.5</v>
      </c>
      <c r="H252" s="112">
        <f>Tabla2698[[#This Row],[Total cluster weight (g)]]/COUNTA(A249:A252)</f>
        <v>146.625</v>
      </c>
    </row>
    <row r="253" spans="1:8" x14ac:dyDescent="0.55000000000000004">
      <c r="A253" s="34" t="s">
        <v>223</v>
      </c>
      <c r="B253" s="12">
        <v>52</v>
      </c>
      <c r="C253" s="12">
        <v>69</v>
      </c>
      <c r="D253" s="28" t="s">
        <v>37</v>
      </c>
      <c r="E253" s="12">
        <v>9</v>
      </c>
      <c r="F253" s="12" t="s">
        <v>36</v>
      </c>
      <c r="G253" s="12"/>
      <c r="H253" s="93"/>
    </row>
    <row r="254" spans="1:8" x14ac:dyDescent="0.55000000000000004">
      <c r="A254" s="10" t="s">
        <v>232</v>
      </c>
      <c r="B254" s="9">
        <v>53</v>
      </c>
      <c r="C254" s="9">
        <v>66</v>
      </c>
      <c r="D254" s="21" t="s">
        <v>37</v>
      </c>
      <c r="E254" s="9">
        <v>9</v>
      </c>
      <c r="F254" s="9" t="s">
        <v>36</v>
      </c>
      <c r="G254" s="9"/>
      <c r="H254" s="88"/>
    </row>
    <row r="255" spans="1:8" x14ac:dyDescent="0.55000000000000004">
      <c r="A255" s="10" t="s">
        <v>233</v>
      </c>
      <c r="B255" s="9">
        <v>49</v>
      </c>
      <c r="C255" s="9">
        <v>62</v>
      </c>
      <c r="D255" s="21" t="s">
        <v>37</v>
      </c>
      <c r="E255" s="9">
        <v>9</v>
      </c>
      <c r="F255" s="9" t="s">
        <v>36</v>
      </c>
      <c r="G255" s="9"/>
      <c r="H255" s="88"/>
    </row>
    <row r="256" spans="1:8" x14ac:dyDescent="0.55000000000000004">
      <c r="A256" s="10" t="s">
        <v>234</v>
      </c>
      <c r="B256" s="9">
        <v>50</v>
      </c>
      <c r="C256" s="9">
        <v>63</v>
      </c>
      <c r="D256" s="21" t="s">
        <v>37</v>
      </c>
      <c r="E256" s="9">
        <v>9</v>
      </c>
      <c r="F256" s="9" t="s">
        <v>36</v>
      </c>
      <c r="G256" s="9"/>
      <c r="H256" s="88"/>
    </row>
    <row r="257" spans="1:9" ht="14.7" thickBot="1" x14ac:dyDescent="0.6">
      <c r="A257" s="35" t="s">
        <v>235</v>
      </c>
      <c r="B257" s="14">
        <v>51</v>
      </c>
      <c r="C257" s="14">
        <v>69</v>
      </c>
      <c r="D257" s="23" t="s">
        <v>37</v>
      </c>
      <c r="E257" s="14">
        <v>9</v>
      </c>
      <c r="F257" s="14" t="s">
        <v>36</v>
      </c>
      <c r="G257" s="14">
        <v>630</v>
      </c>
      <c r="H257" s="102">
        <f>Tabla2698[[#This Row],[Total cluster weight (g)]]/COUNTA(A253:A257)</f>
        <v>126</v>
      </c>
    </row>
    <row r="258" spans="1:9" x14ac:dyDescent="0.55000000000000004">
      <c r="A258" s="6" t="s">
        <v>285</v>
      </c>
      <c r="B258" s="7">
        <v>52</v>
      </c>
      <c r="C258" s="7">
        <v>62</v>
      </c>
      <c r="D258" s="9" t="s">
        <v>37</v>
      </c>
      <c r="E258" s="9">
        <v>10</v>
      </c>
      <c r="F258" s="20" t="s">
        <v>36</v>
      </c>
      <c r="G258" s="9"/>
      <c r="H258" s="157"/>
      <c r="I258" t="s">
        <v>56</v>
      </c>
    </row>
    <row r="259" spans="1:9" x14ac:dyDescent="0.55000000000000004">
      <c r="A259" s="8" t="s">
        <v>286</v>
      </c>
      <c r="B259" s="9">
        <v>54</v>
      </c>
      <c r="C259" s="9">
        <v>71</v>
      </c>
      <c r="D259" s="9" t="s">
        <v>37</v>
      </c>
      <c r="E259" s="9">
        <v>10</v>
      </c>
      <c r="F259" s="9" t="s">
        <v>36</v>
      </c>
      <c r="G259" s="9"/>
      <c r="H259" s="157"/>
    </row>
    <row r="260" spans="1:9" x14ac:dyDescent="0.55000000000000004">
      <c r="A260" s="10" t="s">
        <v>277</v>
      </c>
      <c r="B260" s="9">
        <v>53</v>
      </c>
      <c r="C260" s="9">
        <v>66</v>
      </c>
      <c r="D260" s="9" t="s">
        <v>37</v>
      </c>
      <c r="E260" s="9">
        <v>10</v>
      </c>
      <c r="F260" s="9" t="s">
        <v>36</v>
      </c>
      <c r="G260" s="9"/>
      <c r="H260" s="157"/>
    </row>
    <row r="261" spans="1:9" ht="14.7" thickBot="1" x14ac:dyDescent="0.6">
      <c r="A261" s="13" t="s">
        <v>250</v>
      </c>
      <c r="B261" s="14">
        <v>53</v>
      </c>
      <c r="C261" s="14">
        <v>68</v>
      </c>
      <c r="D261" s="14" t="s">
        <v>37</v>
      </c>
      <c r="E261" s="14">
        <v>10</v>
      </c>
      <c r="F261" s="22" t="s">
        <v>36</v>
      </c>
      <c r="G261" s="14">
        <v>532.5</v>
      </c>
      <c r="H261" s="158">
        <f>Tabla2698[[#This Row],[Total cluster weight (g)]]/COUNTA(A258:A261)</f>
        <v>133.125</v>
      </c>
    </row>
    <row r="262" spans="1:9" x14ac:dyDescent="0.55000000000000004">
      <c r="A262" s="6" t="s">
        <v>255</v>
      </c>
      <c r="B262" s="7">
        <v>47</v>
      </c>
      <c r="C262" s="7">
        <v>60</v>
      </c>
      <c r="D262" s="9" t="s">
        <v>37</v>
      </c>
      <c r="E262" s="9">
        <v>11</v>
      </c>
      <c r="F262" s="20" t="s">
        <v>35</v>
      </c>
      <c r="G262" s="9"/>
      <c r="H262" s="157"/>
    </row>
    <row r="263" spans="1:9" x14ac:dyDescent="0.55000000000000004">
      <c r="A263" s="8" t="s">
        <v>256</v>
      </c>
      <c r="B263" s="9">
        <v>47</v>
      </c>
      <c r="C263" s="9">
        <v>60</v>
      </c>
      <c r="D263" s="9" t="s">
        <v>37</v>
      </c>
      <c r="E263" s="9">
        <v>11</v>
      </c>
      <c r="F263" s="9" t="s">
        <v>35</v>
      </c>
      <c r="G263" s="9"/>
      <c r="H263" s="157"/>
    </row>
    <row r="264" spans="1:9" x14ac:dyDescent="0.55000000000000004">
      <c r="A264" s="10" t="s">
        <v>260</v>
      </c>
      <c r="B264" s="9">
        <v>58</v>
      </c>
      <c r="C264" s="9">
        <v>64</v>
      </c>
      <c r="D264" s="9" t="s">
        <v>37</v>
      </c>
      <c r="E264" s="9">
        <v>11</v>
      </c>
      <c r="F264" s="9" t="s">
        <v>36</v>
      </c>
      <c r="G264" s="9"/>
      <c r="H264" s="157"/>
    </row>
    <row r="265" spans="1:9" ht="14.7" thickBot="1" x14ac:dyDescent="0.6">
      <c r="A265" s="13" t="s">
        <v>267</v>
      </c>
      <c r="B265" s="14">
        <v>48</v>
      </c>
      <c r="C265" s="14">
        <v>66</v>
      </c>
      <c r="D265" s="14" t="s">
        <v>37</v>
      </c>
      <c r="E265" s="14">
        <v>11</v>
      </c>
      <c r="F265" s="22" t="s">
        <v>36</v>
      </c>
      <c r="G265" s="14">
        <v>413</v>
      </c>
      <c r="H265" s="112">
        <f>Tabla2698[[#This Row],[Total cluster weight (g)]]/COUNTA(A262:A265)</f>
        <v>103.25</v>
      </c>
    </row>
    <row r="266" spans="1:9" x14ac:dyDescent="0.55000000000000004">
      <c r="A266" s="29"/>
      <c r="B266" s="30"/>
      <c r="C266" s="30"/>
      <c r="D266" s="31"/>
      <c r="E266" s="30"/>
      <c r="F266" s="30"/>
      <c r="G266" s="30"/>
      <c r="H266" s="92"/>
    </row>
    <row r="267" spans="1:9" x14ac:dyDescent="0.55000000000000004">
      <c r="A267" s="59" t="s">
        <v>194</v>
      </c>
      <c r="B267" s="55" t="s">
        <v>162</v>
      </c>
      <c r="C267" s="55" t="s">
        <v>163</v>
      </c>
      <c r="D267" s="55" t="s">
        <v>164</v>
      </c>
      <c r="E267" s="55" t="s">
        <v>165</v>
      </c>
      <c r="F267" s="56" t="s">
        <v>189</v>
      </c>
      <c r="G267" s="110" t="s">
        <v>230</v>
      </c>
    </row>
    <row r="268" spans="1:9" x14ac:dyDescent="0.55000000000000004">
      <c r="A268" s="60" t="s">
        <v>166</v>
      </c>
      <c r="B268" s="57">
        <f>AVERAGE(Tabla2698[Height (mm)])</f>
        <v>51.04</v>
      </c>
      <c r="C268" s="57">
        <f>AVERAGE(Tabla2698[Width (mm)])</f>
        <v>64.5</v>
      </c>
      <c r="D268" s="57">
        <f>MAX(Tabla2698[[Cluster number ]])</f>
        <v>11</v>
      </c>
      <c r="E268" s="57">
        <f>AVERAGE(Tabla2698[Tomato average weight per cluster])</f>
        <v>118.03636363636365</v>
      </c>
      <c r="F268" s="58">
        <f>COUNTA(Tabla2698["L5" PLANT])</f>
        <v>50</v>
      </c>
      <c r="G268" s="109">
        <f>SUM(Tabla2698[Total cluster weight (g)])</f>
        <v>5874</v>
      </c>
    </row>
    <row r="270" spans="1:9" ht="14.7" thickBot="1" x14ac:dyDescent="0.6">
      <c r="A270" s="5" t="s">
        <v>106</v>
      </c>
      <c r="B270" t="s">
        <v>3</v>
      </c>
      <c r="C270" t="s">
        <v>4</v>
      </c>
      <c r="D270" t="s">
        <v>5</v>
      </c>
      <c r="E270" t="s">
        <v>6</v>
      </c>
      <c r="F270" t="s">
        <v>7</v>
      </c>
      <c r="G270" t="s">
        <v>8</v>
      </c>
      <c r="H270" t="s">
        <v>161</v>
      </c>
    </row>
    <row r="271" spans="1:9" x14ac:dyDescent="0.55000000000000004">
      <c r="A271" s="6" t="s">
        <v>9</v>
      </c>
      <c r="B271" s="9">
        <v>53</v>
      </c>
      <c r="C271" s="9">
        <v>63</v>
      </c>
      <c r="D271" s="28" t="s">
        <v>37</v>
      </c>
      <c r="E271" s="12">
        <v>1</v>
      </c>
      <c r="F271" s="12" t="s">
        <v>36</v>
      </c>
      <c r="G271" s="9"/>
      <c r="H271" s="12"/>
    </row>
    <row r="272" spans="1:9" x14ac:dyDescent="0.55000000000000004">
      <c r="A272" s="8" t="s">
        <v>10</v>
      </c>
      <c r="B272" s="9">
        <v>57</v>
      </c>
      <c r="C272" s="9">
        <v>66</v>
      </c>
      <c r="D272" s="28" t="s">
        <v>37</v>
      </c>
      <c r="E272" s="12">
        <v>1</v>
      </c>
      <c r="F272" s="12" t="s">
        <v>36</v>
      </c>
      <c r="G272" s="9"/>
      <c r="H272" s="9"/>
    </row>
    <row r="273" spans="1:9" x14ac:dyDescent="0.55000000000000004">
      <c r="A273" s="10" t="s">
        <v>11</v>
      </c>
      <c r="B273" s="9">
        <v>55</v>
      </c>
      <c r="C273" s="9">
        <v>67</v>
      </c>
      <c r="D273" s="28" t="s">
        <v>37</v>
      </c>
      <c r="E273" s="12">
        <v>1</v>
      </c>
      <c r="F273" s="12" t="s">
        <v>36</v>
      </c>
      <c r="G273" s="9"/>
      <c r="H273" s="9"/>
    </row>
    <row r="274" spans="1:9" x14ac:dyDescent="0.55000000000000004">
      <c r="A274" s="11" t="s">
        <v>12</v>
      </c>
      <c r="B274" s="12">
        <v>55</v>
      </c>
      <c r="C274" s="12">
        <v>64</v>
      </c>
      <c r="D274" s="28" t="s">
        <v>37</v>
      </c>
      <c r="E274" s="12">
        <v>1</v>
      </c>
      <c r="F274" s="12" t="s">
        <v>36</v>
      </c>
      <c r="G274" s="9"/>
      <c r="H274" s="9"/>
    </row>
    <row r="275" spans="1:9" ht="14.7" thickBot="1" x14ac:dyDescent="0.6">
      <c r="A275" s="13" t="s">
        <v>13</v>
      </c>
      <c r="B275" s="14">
        <v>56</v>
      </c>
      <c r="C275" s="14">
        <v>67</v>
      </c>
      <c r="D275" s="23" t="s">
        <v>37</v>
      </c>
      <c r="E275" s="14">
        <v>1</v>
      </c>
      <c r="F275" s="14" t="s">
        <v>36</v>
      </c>
      <c r="G275" s="14">
        <v>651</v>
      </c>
      <c r="H275" s="14">
        <f>Tabla2699[[#This Row],[Total cluster weight (g)]]/COUNTA(A271:A275)</f>
        <v>130.19999999999999</v>
      </c>
    </row>
    <row r="276" spans="1:9" x14ac:dyDescent="0.55000000000000004">
      <c r="A276" s="6" t="s">
        <v>41</v>
      </c>
      <c r="B276" s="9">
        <v>57</v>
      </c>
      <c r="C276" s="9">
        <v>59</v>
      </c>
      <c r="D276" s="28" t="s">
        <v>37</v>
      </c>
      <c r="E276" s="12">
        <v>2</v>
      </c>
      <c r="F276" s="12" t="s">
        <v>36</v>
      </c>
      <c r="G276" s="9"/>
      <c r="H276" s="12"/>
    </row>
    <row r="277" spans="1:9" x14ac:dyDescent="0.55000000000000004">
      <c r="A277" s="10" t="s">
        <v>42</v>
      </c>
      <c r="B277" s="9">
        <v>55</v>
      </c>
      <c r="C277" s="9">
        <v>62</v>
      </c>
      <c r="D277" s="28" t="s">
        <v>37</v>
      </c>
      <c r="E277" s="12">
        <v>2</v>
      </c>
      <c r="F277" s="12" t="s">
        <v>36</v>
      </c>
      <c r="G277" s="9"/>
      <c r="H277" s="9"/>
    </row>
    <row r="278" spans="1:9" x14ac:dyDescent="0.55000000000000004">
      <c r="A278" s="10" t="s">
        <v>43</v>
      </c>
      <c r="B278" s="9">
        <v>53</v>
      </c>
      <c r="C278" s="9">
        <v>63</v>
      </c>
      <c r="D278" s="28" t="s">
        <v>37</v>
      </c>
      <c r="E278" s="12">
        <v>2</v>
      </c>
      <c r="F278" s="12" t="s">
        <v>36</v>
      </c>
      <c r="G278" s="9"/>
      <c r="H278" s="9"/>
    </row>
    <row r="279" spans="1:9" x14ac:dyDescent="0.55000000000000004">
      <c r="A279" s="34" t="s">
        <v>47</v>
      </c>
      <c r="B279" s="9">
        <v>58</v>
      </c>
      <c r="C279" s="9">
        <v>64</v>
      </c>
      <c r="D279" s="28" t="s">
        <v>37</v>
      </c>
      <c r="E279" s="12">
        <v>2</v>
      </c>
      <c r="F279" s="12" t="s">
        <v>36</v>
      </c>
      <c r="G279" s="9"/>
      <c r="H279" s="9"/>
    </row>
    <row r="280" spans="1:9" ht="14.7" thickBot="1" x14ac:dyDescent="0.6">
      <c r="A280" s="35" t="s">
        <v>48</v>
      </c>
      <c r="B280" s="14">
        <v>57</v>
      </c>
      <c r="C280" s="14">
        <v>60</v>
      </c>
      <c r="D280" s="23" t="s">
        <v>37</v>
      </c>
      <c r="E280" s="14">
        <v>2</v>
      </c>
      <c r="F280" s="14" t="s">
        <v>36</v>
      </c>
      <c r="G280" s="14">
        <v>548.5</v>
      </c>
      <c r="H280" s="14">
        <f>Tabla2699[[#This Row],[Total cluster weight (g)]]/COUNTA(A276:A280)</f>
        <v>109.7</v>
      </c>
    </row>
    <row r="281" spans="1:9" x14ac:dyDescent="0.55000000000000004">
      <c r="A281" s="11" t="s">
        <v>90</v>
      </c>
      <c r="B281" s="12">
        <v>55</v>
      </c>
      <c r="C281" s="12">
        <v>57</v>
      </c>
      <c r="D281" s="28" t="s">
        <v>37</v>
      </c>
      <c r="E281" s="12">
        <v>3</v>
      </c>
      <c r="F281" s="12" t="s">
        <v>36</v>
      </c>
      <c r="G281" s="12"/>
      <c r="H281" s="12"/>
      <c r="I281" t="s">
        <v>56</v>
      </c>
    </row>
    <row r="282" spans="1:9" x14ac:dyDescent="0.55000000000000004">
      <c r="A282" s="8" t="s">
        <v>76</v>
      </c>
      <c r="B282" s="9">
        <v>54</v>
      </c>
      <c r="C282" s="9">
        <v>63</v>
      </c>
      <c r="D282" s="21" t="s">
        <v>37</v>
      </c>
      <c r="E282" s="9">
        <v>3</v>
      </c>
      <c r="F282" s="9" t="s">
        <v>36</v>
      </c>
      <c r="G282" s="9"/>
      <c r="H282" s="9"/>
    </row>
    <row r="283" spans="1:9" x14ac:dyDescent="0.55000000000000004">
      <c r="A283" s="10" t="s">
        <v>91</v>
      </c>
      <c r="B283" s="9">
        <v>52</v>
      </c>
      <c r="C283" s="9">
        <v>59</v>
      </c>
      <c r="D283" s="21" t="s">
        <v>37</v>
      </c>
      <c r="E283" s="9">
        <v>3</v>
      </c>
      <c r="F283" s="9" t="s">
        <v>36</v>
      </c>
      <c r="G283" s="9"/>
      <c r="H283" s="9"/>
    </row>
    <row r="284" spans="1:9" x14ac:dyDescent="0.55000000000000004">
      <c r="A284" s="11" t="s">
        <v>52</v>
      </c>
      <c r="B284" s="9">
        <v>56</v>
      </c>
      <c r="C284" s="9">
        <v>61</v>
      </c>
      <c r="D284" s="21" t="s">
        <v>37</v>
      </c>
      <c r="E284" s="12">
        <v>3</v>
      </c>
      <c r="F284" s="9" t="s">
        <v>36</v>
      </c>
      <c r="G284" s="9"/>
      <c r="H284" s="9"/>
    </row>
    <row r="285" spans="1:9" ht="14.7" thickBot="1" x14ac:dyDescent="0.6">
      <c r="A285" s="13" t="s">
        <v>53</v>
      </c>
      <c r="B285" s="14">
        <v>56</v>
      </c>
      <c r="C285" s="14">
        <v>60</v>
      </c>
      <c r="D285" s="23" t="s">
        <v>37</v>
      </c>
      <c r="E285" s="14">
        <v>3</v>
      </c>
      <c r="F285" s="14" t="s">
        <v>36</v>
      </c>
      <c r="G285" s="14">
        <v>512.5</v>
      </c>
      <c r="H285" s="14">
        <f>Tabla2699[[#This Row],[Total cluster weight (g)]]/COUNTA(A281:A285)</f>
        <v>102.5</v>
      </c>
    </row>
    <row r="286" spans="1:9" x14ac:dyDescent="0.55000000000000004">
      <c r="A286" s="11" t="s">
        <v>80</v>
      </c>
      <c r="B286" s="12">
        <v>55</v>
      </c>
      <c r="C286" s="12">
        <v>66</v>
      </c>
      <c r="D286" s="28" t="s">
        <v>37</v>
      </c>
      <c r="E286" s="12">
        <v>4</v>
      </c>
      <c r="F286" s="12" t="s">
        <v>35</v>
      </c>
      <c r="G286" s="12"/>
      <c r="H286" s="12"/>
    </row>
    <row r="287" spans="1:9" x14ac:dyDescent="0.55000000000000004">
      <c r="A287" s="8" t="s">
        <v>81</v>
      </c>
      <c r="B287" s="9">
        <v>52</v>
      </c>
      <c r="C287" s="9">
        <v>62</v>
      </c>
      <c r="D287" s="21" t="s">
        <v>37</v>
      </c>
      <c r="E287" s="9">
        <v>4</v>
      </c>
      <c r="F287" s="9" t="s">
        <v>35</v>
      </c>
      <c r="G287" s="9"/>
      <c r="H287" s="9"/>
    </row>
    <row r="288" spans="1:9" x14ac:dyDescent="0.55000000000000004">
      <c r="A288" s="10" t="s">
        <v>66</v>
      </c>
      <c r="B288" s="9">
        <v>52</v>
      </c>
      <c r="C288" s="9">
        <v>64</v>
      </c>
      <c r="D288" s="21" t="s">
        <v>37</v>
      </c>
      <c r="E288" s="9">
        <v>4</v>
      </c>
      <c r="F288" s="9" t="s">
        <v>35</v>
      </c>
      <c r="G288" s="9"/>
      <c r="H288" s="9"/>
    </row>
    <row r="289" spans="1:9" x14ac:dyDescent="0.55000000000000004">
      <c r="A289" s="11" t="s">
        <v>67</v>
      </c>
      <c r="B289" s="9">
        <v>54</v>
      </c>
      <c r="C289" s="9">
        <v>65</v>
      </c>
      <c r="D289" s="21" t="s">
        <v>37</v>
      </c>
      <c r="E289" s="9">
        <v>4</v>
      </c>
      <c r="F289" s="12" t="s">
        <v>36</v>
      </c>
      <c r="G289" s="9"/>
      <c r="H289" s="5"/>
    </row>
    <row r="290" spans="1:9" ht="14.7" thickBot="1" x14ac:dyDescent="0.6">
      <c r="A290" s="13" t="s">
        <v>71</v>
      </c>
      <c r="B290" s="14">
        <v>54</v>
      </c>
      <c r="C290" s="14">
        <v>64</v>
      </c>
      <c r="D290" s="23" t="s">
        <v>37</v>
      </c>
      <c r="E290" s="14">
        <v>4</v>
      </c>
      <c r="F290" s="14" t="s">
        <v>36</v>
      </c>
      <c r="G290" s="14">
        <v>542</v>
      </c>
      <c r="H290" s="14">
        <f>Tabla2699[[#This Row],[Total cluster weight (g)]]/COUNTA(A286:A290)</f>
        <v>108.4</v>
      </c>
    </row>
    <row r="291" spans="1:9" x14ac:dyDescent="0.55000000000000004">
      <c r="A291" s="6" t="s">
        <v>89</v>
      </c>
      <c r="B291" s="7">
        <v>53</v>
      </c>
      <c r="C291" s="7">
        <v>61</v>
      </c>
      <c r="D291" s="21" t="s">
        <v>37</v>
      </c>
      <c r="E291" s="9">
        <v>5</v>
      </c>
      <c r="F291" s="9" t="s">
        <v>35</v>
      </c>
      <c r="G291" s="9"/>
      <c r="H291" s="88"/>
    </row>
    <row r="292" spans="1:9" x14ac:dyDescent="0.55000000000000004">
      <c r="A292" s="8" t="s">
        <v>92</v>
      </c>
      <c r="B292" s="9">
        <v>54</v>
      </c>
      <c r="C292" s="9">
        <v>61</v>
      </c>
      <c r="D292" s="21" t="s">
        <v>37</v>
      </c>
      <c r="E292" s="9">
        <v>5</v>
      </c>
      <c r="F292" s="9" t="s">
        <v>35</v>
      </c>
      <c r="G292" s="9"/>
      <c r="H292" s="88"/>
    </row>
    <row r="293" spans="1:9" x14ac:dyDescent="0.55000000000000004">
      <c r="A293" s="10" t="s">
        <v>93</v>
      </c>
      <c r="B293" s="9">
        <v>55</v>
      </c>
      <c r="C293" s="9">
        <v>61</v>
      </c>
      <c r="D293" s="21" t="s">
        <v>37</v>
      </c>
      <c r="E293" s="9">
        <v>5</v>
      </c>
      <c r="F293" s="9" t="s">
        <v>36</v>
      </c>
      <c r="G293" s="9"/>
      <c r="H293" s="88"/>
    </row>
    <row r="294" spans="1:9" ht="14.7" thickBot="1" x14ac:dyDescent="0.6">
      <c r="A294" s="13" t="s">
        <v>94</v>
      </c>
      <c r="B294" s="14">
        <v>55</v>
      </c>
      <c r="C294" s="14">
        <v>65</v>
      </c>
      <c r="D294" s="23" t="s">
        <v>37</v>
      </c>
      <c r="E294" s="14">
        <v>5</v>
      </c>
      <c r="F294" s="14" t="s">
        <v>36</v>
      </c>
      <c r="G294" s="14">
        <v>442</v>
      </c>
      <c r="H294" s="14">
        <f>Tabla2699[[#This Row],[Total cluster weight (g)]]/COUNTA(A291:A294)</f>
        <v>110.5</v>
      </c>
    </row>
    <row r="295" spans="1:9" x14ac:dyDescent="0.55000000000000004">
      <c r="A295" s="29" t="s">
        <v>95</v>
      </c>
      <c r="B295" s="9">
        <v>56</v>
      </c>
      <c r="C295" s="9">
        <v>65</v>
      </c>
      <c r="D295" s="28" t="s">
        <v>37</v>
      </c>
      <c r="E295" s="12">
        <v>6</v>
      </c>
      <c r="F295" s="12" t="s">
        <v>237</v>
      </c>
      <c r="G295" s="9"/>
      <c r="H295" s="88"/>
    </row>
    <row r="296" spans="1:9" x14ac:dyDescent="0.55000000000000004">
      <c r="A296" s="29" t="s">
        <v>144</v>
      </c>
      <c r="B296" s="9">
        <v>55</v>
      </c>
      <c r="C296" s="9">
        <v>65</v>
      </c>
      <c r="D296" s="28" t="s">
        <v>37</v>
      </c>
      <c r="E296" s="12">
        <v>6</v>
      </c>
      <c r="F296" s="12" t="s">
        <v>237</v>
      </c>
      <c r="G296" s="9"/>
      <c r="H296" s="88"/>
    </row>
    <row r="297" spans="1:9" x14ac:dyDescent="0.55000000000000004">
      <c r="A297" s="29" t="s">
        <v>150</v>
      </c>
      <c r="B297" s="9">
        <v>56</v>
      </c>
      <c r="C297" s="9">
        <v>66</v>
      </c>
      <c r="D297" s="28" t="s">
        <v>37</v>
      </c>
      <c r="E297" s="12">
        <v>6</v>
      </c>
      <c r="F297" s="12" t="s">
        <v>237</v>
      </c>
      <c r="G297" s="9"/>
      <c r="H297" s="88"/>
    </row>
    <row r="298" spans="1:9" ht="14.7" thickBot="1" x14ac:dyDescent="0.6">
      <c r="A298" s="91" t="s">
        <v>151</v>
      </c>
      <c r="B298" s="14">
        <v>56</v>
      </c>
      <c r="C298" s="14">
        <v>63</v>
      </c>
      <c r="D298" s="26" t="s">
        <v>37</v>
      </c>
      <c r="E298" s="22">
        <v>6</v>
      </c>
      <c r="F298" s="22" t="s">
        <v>36</v>
      </c>
      <c r="G298" s="14">
        <v>508</v>
      </c>
      <c r="H298" s="102">
        <f>Tabla2699[[#This Row],[Total cluster weight (g)]]/COUNTA(A295:A298)</f>
        <v>127</v>
      </c>
    </row>
    <row r="299" spans="1:9" x14ac:dyDescent="0.55000000000000004">
      <c r="A299" s="29" t="s">
        <v>152</v>
      </c>
      <c r="B299" s="9">
        <v>54</v>
      </c>
      <c r="C299" s="9">
        <v>65</v>
      </c>
      <c r="D299" s="28" t="s">
        <v>37</v>
      </c>
      <c r="E299" s="12">
        <v>7</v>
      </c>
      <c r="F299" s="12" t="s">
        <v>36</v>
      </c>
      <c r="G299" s="9"/>
      <c r="H299" s="88"/>
    </row>
    <row r="300" spans="1:9" x14ac:dyDescent="0.55000000000000004">
      <c r="A300" s="29" t="s">
        <v>153</v>
      </c>
      <c r="B300" s="9">
        <v>55</v>
      </c>
      <c r="C300" s="9">
        <v>65</v>
      </c>
      <c r="D300" s="28" t="s">
        <v>37</v>
      </c>
      <c r="E300" s="12">
        <v>7</v>
      </c>
      <c r="F300" s="12" t="s">
        <v>36</v>
      </c>
      <c r="G300" s="9"/>
      <c r="H300" s="88"/>
    </row>
    <row r="301" spans="1:9" x14ac:dyDescent="0.55000000000000004">
      <c r="A301" s="29" t="s">
        <v>158</v>
      </c>
      <c r="B301" s="9">
        <v>56</v>
      </c>
      <c r="C301" s="9">
        <v>67</v>
      </c>
      <c r="D301" s="28" t="s">
        <v>37</v>
      </c>
      <c r="E301" s="12">
        <v>7</v>
      </c>
      <c r="F301" s="12" t="s">
        <v>36</v>
      </c>
      <c r="G301" s="9"/>
      <c r="H301" s="88"/>
    </row>
    <row r="302" spans="1:9" x14ac:dyDescent="0.55000000000000004">
      <c r="A302" s="29" t="s">
        <v>215</v>
      </c>
      <c r="B302" s="9">
        <v>58</v>
      </c>
      <c r="C302" s="9">
        <v>72</v>
      </c>
      <c r="D302" s="28" t="s">
        <v>37</v>
      </c>
      <c r="E302" s="12">
        <v>7</v>
      </c>
      <c r="F302" s="12" t="s">
        <v>36</v>
      </c>
      <c r="G302" s="9"/>
      <c r="H302" s="88"/>
    </row>
    <row r="303" spans="1:9" ht="14.7" thickBot="1" x14ac:dyDescent="0.6">
      <c r="A303" s="91" t="s">
        <v>216</v>
      </c>
      <c r="B303" s="14">
        <v>58</v>
      </c>
      <c r="C303" s="14">
        <v>67</v>
      </c>
      <c r="D303" s="26" t="s">
        <v>37</v>
      </c>
      <c r="E303" s="22">
        <v>7</v>
      </c>
      <c r="F303" s="22" t="s">
        <v>36</v>
      </c>
      <c r="G303" s="14">
        <v>701</v>
      </c>
      <c r="H303" s="102">
        <f>Tabla2699[[#This Row],[Total cluster weight (g)]]/COUNTA(A299:A303)</f>
        <v>140.19999999999999</v>
      </c>
    </row>
    <row r="304" spans="1:9" x14ac:dyDescent="0.55000000000000004">
      <c r="A304" s="6" t="s">
        <v>287</v>
      </c>
      <c r="B304" s="9">
        <v>50</v>
      </c>
      <c r="C304" s="9">
        <v>60</v>
      </c>
      <c r="D304" s="28" t="s">
        <v>37</v>
      </c>
      <c r="E304" s="12">
        <v>8</v>
      </c>
      <c r="F304" s="12" t="s">
        <v>61</v>
      </c>
      <c r="G304" s="9"/>
      <c r="H304" s="88"/>
      <c r="I304" t="s">
        <v>56</v>
      </c>
    </row>
    <row r="305" spans="1:8" x14ac:dyDescent="0.55000000000000004">
      <c r="A305" s="8" t="s">
        <v>54</v>
      </c>
      <c r="B305" s="9">
        <v>55</v>
      </c>
      <c r="C305" s="9">
        <v>65</v>
      </c>
      <c r="D305" s="28" t="s">
        <v>37</v>
      </c>
      <c r="E305" s="12">
        <v>8</v>
      </c>
      <c r="F305" s="12" t="s">
        <v>35</v>
      </c>
      <c r="G305" s="9"/>
      <c r="H305" s="88"/>
    </row>
    <row r="306" spans="1:8" x14ac:dyDescent="0.55000000000000004">
      <c r="A306" s="10" t="s">
        <v>55</v>
      </c>
      <c r="B306" s="9">
        <v>58</v>
      </c>
      <c r="C306" s="9">
        <v>66</v>
      </c>
      <c r="D306" s="28" t="s">
        <v>37</v>
      </c>
      <c r="E306" s="12">
        <v>8</v>
      </c>
      <c r="F306" s="12" t="s">
        <v>35</v>
      </c>
      <c r="G306" s="9"/>
      <c r="H306" s="88"/>
    </row>
    <row r="307" spans="1:8" x14ac:dyDescent="0.55000000000000004">
      <c r="A307" s="11" t="s">
        <v>12</v>
      </c>
      <c r="B307" s="9">
        <v>57</v>
      </c>
      <c r="C307" s="9">
        <v>66</v>
      </c>
      <c r="D307" s="28" t="s">
        <v>37</v>
      </c>
      <c r="E307" s="12">
        <v>8</v>
      </c>
      <c r="F307" s="12" t="s">
        <v>36</v>
      </c>
      <c r="G307" s="9"/>
      <c r="H307" s="88"/>
    </row>
    <row r="308" spans="1:8" x14ac:dyDescent="0.55000000000000004">
      <c r="A308" s="10" t="s">
        <v>13</v>
      </c>
      <c r="B308" s="9">
        <v>57</v>
      </c>
      <c r="C308" s="9">
        <v>72</v>
      </c>
      <c r="D308" s="28" t="s">
        <v>37</v>
      </c>
      <c r="E308" s="12">
        <v>8</v>
      </c>
      <c r="F308" s="12" t="s">
        <v>36</v>
      </c>
      <c r="G308" s="9"/>
      <c r="H308" s="88"/>
    </row>
    <row r="309" spans="1:8" x14ac:dyDescent="0.55000000000000004">
      <c r="A309" s="11" t="s">
        <v>41</v>
      </c>
      <c r="B309" s="9">
        <v>56</v>
      </c>
      <c r="C309" s="9">
        <v>67</v>
      </c>
      <c r="D309" s="28" t="s">
        <v>37</v>
      </c>
      <c r="E309" s="12">
        <v>8</v>
      </c>
      <c r="F309" s="12" t="s">
        <v>36</v>
      </c>
      <c r="G309" s="9"/>
      <c r="H309" s="88"/>
    </row>
    <row r="310" spans="1:8" ht="14.7" thickBot="1" x14ac:dyDescent="0.6">
      <c r="A310" s="13" t="s">
        <v>42</v>
      </c>
      <c r="B310" s="14">
        <v>60</v>
      </c>
      <c r="C310" s="14">
        <v>69</v>
      </c>
      <c r="D310" s="23" t="s">
        <v>37</v>
      </c>
      <c r="E310" s="14">
        <v>8</v>
      </c>
      <c r="F310" s="14" t="s">
        <v>36</v>
      </c>
      <c r="G310" s="14">
        <v>965.5</v>
      </c>
      <c r="H310" s="102">
        <f>Tabla2699[[#This Row],[Total cluster weight (g)]]/COUNTA(A304:A310)</f>
        <v>137.92857142857142</v>
      </c>
    </row>
    <row r="311" spans="1:8" x14ac:dyDescent="0.55000000000000004">
      <c r="A311" s="29"/>
      <c r="B311" s="30"/>
      <c r="C311" s="30"/>
      <c r="D311" s="31"/>
      <c r="E311" s="30"/>
      <c r="F311" s="30"/>
      <c r="G311" s="30"/>
    </row>
    <row r="312" spans="1:8" x14ac:dyDescent="0.55000000000000004">
      <c r="A312" s="59" t="s">
        <v>195</v>
      </c>
      <c r="B312" s="55" t="s">
        <v>162</v>
      </c>
      <c r="C312" s="55" t="s">
        <v>163</v>
      </c>
      <c r="D312" s="55" t="s">
        <v>164</v>
      </c>
      <c r="E312" s="55" t="s">
        <v>165</v>
      </c>
      <c r="F312" s="56" t="s">
        <v>189</v>
      </c>
      <c r="G312" s="110" t="s">
        <v>230</v>
      </c>
    </row>
    <row r="313" spans="1:8" x14ac:dyDescent="0.55000000000000004">
      <c r="A313" s="60" t="s">
        <v>166</v>
      </c>
      <c r="B313" s="57">
        <f>AVERAGE(Tabla2699[Height (mm)])</f>
        <v>55.25</v>
      </c>
      <c r="C313" s="57">
        <f>AVERAGE(Tabla2699[Width (mm)])</f>
        <v>64.099999999999994</v>
      </c>
      <c r="D313" s="57">
        <f>MAX(Tabla2699[[Cluster number ]])</f>
        <v>8</v>
      </c>
      <c r="E313" s="57">
        <f>AVERAGE(Tabla2699[Tomato average weight per cluster])</f>
        <v>120.80357142857143</v>
      </c>
      <c r="F313" s="58">
        <f>COUNTA(Tabla2699["L6" PLANT])</f>
        <v>40</v>
      </c>
      <c r="G313" s="109">
        <f>SUM(Tabla2699[Total cluster weight (g)])</f>
        <v>4870.5</v>
      </c>
    </row>
    <row r="315" spans="1:8" ht="14.7" thickBot="1" x14ac:dyDescent="0.6">
      <c r="A315" s="5" t="s">
        <v>107</v>
      </c>
      <c r="B315" t="s">
        <v>3</v>
      </c>
      <c r="C315" t="s">
        <v>4</v>
      </c>
      <c r="D315" t="s">
        <v>5</v>
      </c>
      <c r="E315" t="s">
        <v>6</v>
      </c>
      <c r="F315" t="s">
        <v>7</v>
      </c>
      <c r="G315" t="s">
        <v>8</v>
      </c>
      <c r="H315" s="52" t="s">
        <v>161</v>
      </c>
    </row>
    <row r="316" spans="1:8" ht="14.7" thickBot="1" x14ac:dyDescent="0.6">
      <c r="A316" s="47" t="s">
        <v>9</v>
      </c>
      <c r="B316" s="46">
        <v>54</v>
      </c>
      <c r="C316" s="46">
        <v>70</v>
      </c>
      <c r="D316" s="46">
        <v>149</v>
      </c>
      <c r="E316" s="14">
        <v>1</v>
      </c>
      <c r="F316" s="14" t="s">
        <v>36</v>
      </c>
      <c r="G316" s="14">
        <v>149</v>
      </c>
      <c r="H316" s="27">
        <f>Tabla26910[[#This Row],[Total cluster weight (g)]]/COUNTA(A316)</f>
        <v>149</v>
      </c>
    </row>
    <row r="317" spans="1:8" x14ac:dyDescent="0.55000000000000004">
      <c r="A317" s="34" t="s">
        <v>10</v>
      </c>
      <c r="B317" s="12">
        <v>54</v>
      </c>
      <c r="C317" s="9">
        <v>64</v>
      </c>
      <c r="D317" s="21" t="s">
        <v>37</v>
      </c>
      <c r="E317" s="12">
        <v>2</v>
      </c>
      <c r="F317" s="9" t="s">
        <v>36</v>
      </c>
      <c r="G317" s="9"/>
      <c r="H317" s="68"/>
    </row>
    <row r="318" spans="1:8" x14ac:dyDescent="0.55000000000000004">
      <c r="A318" s="10" t="s">
        <v>11</v>
      </c>
      <c r="B318" s="9">
        <v>50</v>
      </c>
      <c r="C318" s="9">
        <v>63</v>
      </c>
      <c r="D318" s="21" t="s">
        <v>37</v>
      </c>
      <c r="E318" s="12">
        <v>2</v>
      </c>
      <c r="F318" s="9" t="s">
        <v>36</v>
      </c>
      <c r="G318" s="9"/>
      <c r="H318" s="18"/>
    </row>
    <row r="319" spans="1:8" x14ac:dyDescent="0.55000000000000004">
      <c r="A319" s="10" t="s">
        <v>12</v>
      </c>
      <c r="B319" s="9">
        <v>55</v>
      </c>
      <c r="C319" s="9">
        <v>70</v>
      </c>
      <c r="D319" s="21" t="s">
        <v>37</v>
      </c>
      <c r="E319" s="12">
        <v>2</v>
      </c>
      <c r="F319" s="9" t="s">
        <v>36</v>
      </c>
      <c r="G319" s="9"/>
      <c r="H319" s="16"/>
    </row>
    <row r="320" spans="1:8" x14ac:dyDescent="0.55000000000000004">
      <c r="A320" s="34" t="s">
        <v>13</v>
      </c>
      <c r="B320" s="12">
        <v>57</v>
      </c>
      <c r="C320" s="12">
        <v>71</v>
      </c>
      <c r="D320" s="28" t="s">
        <v>37</v>
      </c>
      <c r="E320" s="12">
        <v>2</v>
      </c>
      <c r="F320" s="12" t="s">
        <v>36</v>
      </c>
      <c r="G320" s="12"/>
      <c r="H320" s="18"/>
    </row>
    <row r="321" spans="1:9" ht="14.7" thickBot="1" x14ac:dyDescent="0.6">
      <c r="A321" s="35" t="s">
        <v>41</v>
      </c>
      <c r="B321" s="14">
        <v>56</v>
      </c>
      <c r="C321" s="14">
        <v>74</v>
      </c>
      <c r="D321" s="23" t="s">
        <v>37</v>
      </c>
      <c r="E321" s="14">
        <v>2</v>
      </c>
      <c r="F321" s="14" t="s">
        <v>36</v>
      </c>
      <c r="G321" s="14">
        <v>690.5</v>
      </c>
      <c r="H321" s="27">
        <f>Tabla26910[[#This Row],[Total cluster weight (g)]]/COUNTA(A317:A321)</f>
        <v>138.1</v>
      </c>
    </row>
    <row r="322" spans="1:9" x14ac:dyDescent="0.55000000000000004">
      <c r="A322" s="6" t="s">
        <v>42</v>
      </c>
      <c r="B322" s="7">
        <v>51</v>
      </c>
      <c r="C322" s="7">
        <v>65</v>
      </c>
      <c r="D322" s="21" t="s">
        <v>37</v>
      </c>
      <c r="E322" s="9">
        <v>3</v>
      </c>
      <c r="F322" s="9" t="s">
        <v>36</v>
      </c>
      <c r="G322" s="9"/>
      <c r="H322" s="66"/>
    </row>
    <row r="323" spans="1:9" x14ac:dyDescent="0.55000000000000004">
      <c r="A323" s="8" t="s">
        <v>43</v>
      </c>
      <c r="B323" s="9">
        <v>55</v>
      </c>
      <c r="C323" s="9">
        <v>68</v>
      </c>
      <c r="D323" s="21" t="s">
        <v>37</v>
      </c>
      <c r="E323" s="9">
        <v>3</v>
      </c>
      <c r="F323" s="9" t="s">
        <v>36</v>
      </c>
      <c r="G323" s="9"/>
      <c r="H323" s="16"/>
    </row>
    <row r="324" spans="1:9" x14ac:dyDescent="0.55000000000000004">
      <c r="A324" s="10" t="s">
        <v>47</v>
      </c>
      <c r="B324" s="9">
        <v>55</v>
      </c>
      <c r="C324" s="9">
        <v>71</v>
      </c>
      <c r="D324" s="21" t="s">
        <v>37</v>
      </c>
      <c r="E324" s="9">
        <v>3</v>
      </c>
      <c r="F324" s="9" t="s">
        <v>36</v>
      </c>
      <c r="G324" s="9"/>
      <c r="H324" s="18"/>
    </row>
    <row r="325" spans="1:9" x14ac:dyDescent="0.55000000000000004">
      <c r="A325" s="11" t="s">
        <v>48</v>
      </c>
      <c r="B325" s="12">
        <v>56</v>
      </c>
      <c r="C325" s="12">
        <v>69</v>
      </c>
      <c r="D325" s="21" t="s">
        <v>37</v>
      </c>
      <c r="E325" s="9">
        <v>3</v>
      </c>
      <c r="F325" s="9" t="s">
        <v>36</v>
      </c>
      <c r="G325" s="9"/>
      <c r="H325" s="16"/>
    </row>
    <row r="326" spans="1:9" ht="14.7" thickBot="1" x14ac:dyDescent="0.6">
      <c r="A326" s="13" t="s">
        <v>49</v>
      </c>
      <c r="B326" s="14">
        <v>55</v>
      </c>
      <c r="C326" s="14">
        <v>71</v>
      </c>
      <c r="D326" s="23" t="s">
        <v>37</v>
      </c>
      <c r="E326" s="14">
        <v>3</v>
      </c>
      <c r="F326" s="14" t="s">
        <v>36</v>
      </c>
      <c r="G326" s="14">
        <v>687</v>
      </c>
      <c r="H326" s="27">
        <f>Tabla26910[[#This Row],[Total cluster weight (g)]]/COUNTA(A322:A326)</f>
        <v>137.4</v>
      </c>
    </row>
    <row r="327" spans="1:9" x14ac:dyDescent="0.55000000000000004">
      <c r="A327" s="6" t="s">
        <v>154</v>
      </c>
      <c r="B327" s="7">
        <v>50</v>
      </c>
      <c r="C327" s="7">
        <v>57</v>
      </c>
      <c r="D327" s="21" t="s">
        <v>37</v>
      </c>
      <c r="E327" s="9">
        <v>4</v>
      </c>
      <c r="F327" s="9" t="s">
        <v>68</v>
      </c>
      <c r="G327" s="9"/>
      <c r="H327" s="68"/>
      <c r="I327" t="s">
        <v>56</v>
      </c>
    </row>
    <row r="328" spans="1:9" x14ac:dyDescent="0.55000000000000004">
      <c r="A328" s="8" t="s">
        <v>91</v>
      </c>
      <c r="B328" s="9">
        <v>47</v>
      </c>
      <c r="C328" s="9">
        <v>58</v>
      </c>
      <c r="D328" s="21" t="s">
        <v>37</v>
      </c>
      <c r="E328" s="9">
        <v>4</v>
      </c>
      <c r="F328" s="9" t="s">
        <v>35</v>
      </c>
      <c r="G328" s="9"/>
      <c r="H328" s="18"/>
    </row>
    <row r="329" spans="1:9" x14ac:dyDescent="0.55000000000000004">
      <c r="A329" s="10" t="s">
        <v>155</v>
      </c>
      <c r="B329" s="9">
        <v>49</v>
      </c>
      <c r="C329" s="9">
        <v>62</v>
      </c>
      <c r="D329" s="21" t="s">
        <v>37</v>
      </c>
      <c r="E329" s="9">
        <v>4</v>
      </c>
      <c r="F329" s="9" t="s">
        <v>35</v>
      </c>
      <c r="G329" s="9"/>
      <c r="H329" s="16"/>
    </row>
    <row r="330" spans="1:9" x14ac:dyDescent="0.55000000000000004">
      <c r="A330" s="8" t="s">
        <v>53</v>
      </c>
      <c r="B330" s="9">
        <v>52</v>
      </c>
      <c r="C330" s="9">
        <v>61</v>
      </c>
      <c r="D330" s="21" t="s">
        <v>37</v>
      </c>
      <c r="E330" s="9">
        <v>4</v>
      </c>
      <c r="F330" s="9" t="s">
        <v>36</v>
      </c>
      <c r="G330" s="9"/>
      <c r="H330" s="18"/>
    </row>
    <row r="331" spans="1:9" ht="14.7" thickBot="1" x14ac:dyDescent="0.6">
      <c r="A331" s="13" t="s">
        <v>80</v>
      </c>
      <c r="B331" s="14">
        <v>51</v>
      </c>
      <c r="C331" s="14">
        <v>64</v>
      </c>
      <c r="D331" s="23" t="s">
        <v>37</v>
      </c>
      <c r="E331" s="14">
        <v>4</v>
      </c>
      <c r="F331" s="14" t="s">
        <v>36</v>
      </c>
      <c r="G331" s="14">
        <v>483.5</v>
      </c>
      <c r="H331" s="27">
        <f>Tabla26910[[#This Row],[Total cluster weight (g)]]/COUNTA(A327:A331)</f>
        <v>96.7</v>
      </c>
    </row>
    <row r="332" spans="1:9" x14ac:dyDescent="0.55000000000000004">
      <c r="A332" s="6" t="s">
        <v>81</v>
      </c>
      <c r="B332" s="7">
        <v>50</v>
      </c>
      <c r="C332" s="7">
        <v>61</v>
      </c>
      <c r="D332" s="21" t="s">
        <v>37</v>
      </c>
      <c r="E332" s="9">
        <v>5</v>
      </c>
      <c r="F332" s="20" t="s">
        <v>35</v>
      </c>
      <c r="G332" s="9"/>
      <c r="H332" s="89"/>
    </row>
    <row r="333" spans="1:9" x14ac:dyDescent="0.55000000000000004">
      <c r="A333" s="8" t="s">
        <v>66</v>
      </c>
      <c r="B333" s="9">
        <v>50</v>
      </c>
      <c r="C333" s="9">
        <v>58</v>
      </c>
      <c r="D333" s="21" t="s">
        <v>37</v>
      </c>
      <c r="E333" s="9">
        <v>5</v>
      </c>
      <c r="F333" s="9" t="s">
        <v>35</v>
      </c>
      <c r="G333" s="9"/>
      <c r="H333" s="89"/>
    </row>
    <row r="334" spans="1:9" x14ac:dyDescent="0.55000000000000004">
      <c r="A334" s="10" t="s">
        <v>67</v>
      </c>
      <c r="B334" s="9">
        <v>52</v>
      </c>
      <c r="C334" s="9">
        <v>63</v>
      </c>
      <c r="D334" s="21" t="s">
        <v>37</v>
      </c>
      <c r="E334" s="9">
        <v>5</v>
      </c>
      <c r="F334" s="9" t="s">
        <v>36</v>
      </c>
      <c r="G334" s="9"/>
      <c r="H334" s="89"/>
    </row>
    <row r="335" spans="1:9" x14ac:dyDescent="0.55000000000000004">
      <c r="A335" s="11" t="s">
        <v>71</v>
      </c>
      <c r="B335" s="12">
        <v>54</v>
      </c>
      <c r="C335" s="12">
        <v>68</v>
      </c>
      <c r="D335" s="21" t="s">
        <v>37</v>
      </c>
      <c r="E335" s="9">
        <v>5</v>
      </c>
      <c r="F335" s="9" t="s">
        <v>36</v>
      </c>
      <c r="G335" s="9"/>
      <c r="H335" s="89"/>
    </row>
    <row r="336" spans="1:9" ht="14.7" thickBot="1" x14ac:dyDescent="0.6">
      <c r="A336" s="13" t="s">
        <v>89</v>
      </c>
      <c r="B336" s="14">
        <v>54</v>
      </c>
      <c r="C336" s="14">
        <v>65</v>
      </c>
      <c r="D336" s="23" t="s">
        <v>37</v>
      </c>
      <c r="E336" s="14">
        <v>5</v>
      </c>
      <c r="F336" s="14" t="s">
        <v>36</v>
      </c>
      <c r="G336" s="14">
        <v>554.5</v>
      </c>
      <c r="H336" s="27">
        <f>Tabla26910[[#This Row],[Total cluster weight (g)]]/COUNTA(A332:A336)</f>
        <v>110.9</v>
      </c>
    </row>
    <row r="337" spans="1:8" x14ac:dyDescent="0.55000000000000004">
      <c r="A337" s="6" t="s">
        <v>92</v>
      </c>
      <c r="B337" s="7">
        <v>54</v>
      </c>
      <c r="C337" s="7">
        <v>66</v>
      </c>
      <c r="D337" s="21" t="s">
        <v>37</v>
      </c>
      <c r="E337" s="9">
        <v>6</v>
      </c>
      <c r="F337" s="9" t="s">
        <v>35</v>
      </c>
      <c r="G337" s="9"/>
      <c r="H337" s="89"/>
    </row>
    <row r="338" spans="1:8" x14ac:dyDescent="0.55000000000000004">
      <c r="A338" s="8" t="s">
        <v>93</v>
      </c>
      <c r="B338" s="9">
        <v>53</v>
      </c>
      <c r="C338" s="9">
        <v>63</v>
      </c>
      <c r="D338" s="21" t="s">
        <v>37</v>
      </c>
      <c r="E338" s="9">
        <v>6</v>
      </c>
      <c r="F338" s="9" t="s">
        <v>35</v>
      </c>
      <c r="G338" s="9"/>
      <c r="H338" s="89"/>
    </row>
    <row r="339" spans="1:8" x14ac:dyDescent="0.55000000000000004">
      <c r="A339" s="10" t="s">
        <v>94</v>
      </c>
      <c r="B339" s="9">
        <v>54</v>
      </c>
      <c r="C339" s="9">
        <v>63</v>
      </c>
      <c r="D339" s="21" t="s">
        <v>37</v>
      </c>
      <c r="E339" s="9">
        <v>6</v>
      </c>
      <c r="F339" s="9" t="s">
        <v>36</v>
      </c>
      <c r="G339" s="9"/>
      <c r="H339" s="89"/>
    </row>
    <row r="340" spans="1:8" x14ac:dyDescent="0.55000000000000004">
      <c r="A340" s="11" t="s">
        <v>95</v>
      </c>
      <c r="B340" s="12">
        <v>51</v>
      </c>
      <c r="C340" s="12">
        <v>63</v>
      </c>
      <c r="D340" s="21" t="s">
        <v>37</v>
      </c>
      <c r="E340" s="9">
        <v>6</v>
      </c>
      <c r="F340" s="9" t="s">
        <v>36</v>
      </c>
      <c r="G340" s="9"/>
      <c r="H340" s="89"/>
    </row>
    <row r="341" spans="1:8" ht="14.7" thickBot="1" x14ac:dyDescent="0.6">
      <c r="A341" s="13" t="s">
        <v>144</v>
      </c>
      <c r="B341" s="14">
        <v>53</v>
      </c>
      <c r="C341" s="14">
        <v>61</v>
      </c>
      <c r="D341" s="23" t="s">
        <v>37</v>
      </c>
      <c r="E341" s="14">
        <v>6</v>
      </c>
      <c r="F341" s="14" t="s">
        <v>36</v>
      </c>
      <c r="G341" s="14">
        <v>557</v>
      </c>
      <c r="H341" s="27">
        <f>Tabla26910[[#This Row],[Total cluster weight (g)]]/COUNTA(A337:A341)</f>
        <v>111.4</v>
      </c>
    </row>
    <row r="342" spans="1:8" x14ac:dyDescent="0.55000000000000004">
      <c r="A342" s="34" t="s">
        <v>150</v>
      </c>
      <c r="B342" s="12">
        <v>55</v>
      </c>
      <c r="C342" s="12">
        <v>67</v>
      </c>
      <c r="D342" s="28" t="s">
        <v>37</v>
      </c>
      <c r="E342" s="12">
        <v>8</v>
      </c>
      <c r="F342" s="12" t="s">
        <v>36</v>
      </c>
      <c r="G342" s="12"/>
      <c r="H342" s="118"/>
    </row>
    <row r="343" spans="1:8" x14ac:dyDescent="0.55000000000000004">
      <c r="A343" s="10" t="s">
        <v>151</v>
      </c>
      <c r="B343" s="9">
        <v>55</v>
      </c>
      <c r="C343" s="9">
        <v>68</v>
      </c>
      <c r="D343" s="21" t="s">
        <v>37</v>
      </c>
      <c r="E343" s="9">
        <v>8</v>
      </c>
      <c r="F343" s="9" t="s">
        <v>36</v>
      </c>
      <c r="G343" s="9"/>
      <c r="H343" s="89"/>
    </row>
    <row r="344" spans="1:8" x14ac:dyDescent="0.55000000000000004">
      <c r="A344" s="10" t="s">
        <v>152</v>
      </c>
      <c r="B344" s="9">
        <v>54</v>
      </c>
      <c r="C344" s="9">
        <v>67</v>
      </c>
      <c r="D344" s="21" t="s">
        <v>37</v>
      </c>
      <c r="E344" s="9">
        <v>8</v>
      </c>
      <c r="F344" s="9" t="s">
        <v>36</v>
      </c>
      <c r="G344" s="9"/>
      <c r="H344" s="89"/>
    </row>
    <row r="345" spans="1:8" x14ac:dyDescent="0.55000000000000004">
      <c r="A345" s="10" t="s">
        <v>153</v>
      </c>
      <c r="B345" s="9">
        <v>59</v>
      </c>
      <c r="C345" s="9">
        <v>69</v>
      </c>
      <c r="D345" s="21" t="s">
        <v>37</v>
      </c>
      <c r="E345" s="9">
        <v>8</v>
      </c>
      <c r="F345" s="9" t="s">
        <v>36</v>
      </c>
      <c r="G345" s="9"/>
      <c r="H345" s="89"/>
    </row>
    <row r="346" spans="1:8" ht="14.7" thickBot="1" x14ac:dyDescent="0.6">
      <c r="A346" s="35" t="s">
        <v>158</v>
      </c>
      <c r="B346" s="14">
        <v>57</v>
      </c>
      <c r="C346" s="14">
        <v>78</v>
      </c>
      <c r="D346" s="23" t="s">
        <v>37</v>
      </c>
      <c r="E346" s="14">
        <v>8</v>
      </c>
      <c r="F346" s="14" t="s">
        <v>36</v>
      </c>
      <c r="G346" s="14">
        <v>745.5</v>
      </c>
      <c r="H346" s="116">
        <f>Tabla26910[[#This Row],[Total cluster weight (g)]]/COUNTA(A342:A346)</f>
        <v>149.1</v>
      </c>
    </row>
    <row r="347" spans="1:8" x14ac:dyDescent="0.55000000000000004">
      <c r="A347" s="34" t="s">
        <v>215</v>
      </c>
      <c r="B347" s="12">
        <v>51</v>
      </c>
      <c r="C347" s="12">
        <v>60</v>
      </c>
      <c r="D347" s="28" t="s">
        <v>37</v>
      </c>
      <c r="E347" s="12">
        <v>9</v>
      </c>
      <c r="F347" s="12" t="s">
        <v>36</v>
      </c>
      <c r="G347" s="12"/>
      <c r="H347" s="118"/>
    </row>
    <row r="348" spans="1:8" x14ac:dyDescent="0.55000000000000004">
      <c r="A348" s="10" t="s">
        <v>216</v>
      </c>
      <c r="B348" s="9">
        <v>55</v>
      </c>
      <c r="C348" s="9">
        <v>67</v>
      </c>
      <c r="D348" s="21" t="s">
        <v>37</v>
      </c>
      <c r="E348" s="9">
        <v>9</v>
      </c>
      <c r="F348" s="9" t="s">
        <v>36</v>
      </c>
      <c r="G348" s="9"/>
      <c r="H348" s="89"/>
    </row>
    <row r="349" spans="1:8" x14ac:dyDescent="0.55000000000000004">
      <c r="A349" s="10" t="s">
        <v>217</v>
      </c>
      <c r="B349" s="9">
        <v>56</v>
      </c>
      <c r="C349" s="9">
        <v>69</v>
      </c>
      <c r="D349" s="21" t="s">
        <v>37</v>
      </c>
      <c r="E349" s="9">
        <v>9</v>
      </c>
      <c r="F349" s="9" t="s">
        <v>36</v>
      </c>
      <c r="G349" s="9"/>
      <c r="H349" s="89"/>
    </row>
    <row r="350" spans="1:8" x14ac:dyDescent="0.55000000000000004">
      <c r="A350" s="10" t="s">
        <v>218</v>
      </c>
      <c r="B350" s="9">
        <v>56</v>
      </c>
      <c r="C350" s="9">
        <v>69</v>
      </c>
      <c r="D350" s="21" t="s">
        <v>37</v>
      </c>
      <c r="E350" s="9">
        <v>9</v>
      </c>
      <c r="F350" s="9" t="s">
        <v>36</v>
      </c>
      <c r="G350" s="9"/>
      <c r="H350" s="89"/>
    </row>
    <row r="351" spans="1:8" ht="14.7" thickBot="1" x14ac:dyDescent="0.6">
      <c r="A351" s="35" t="s">
        <v>219</v>
      </c>
      <c r="B351" s="14">
        <v>55</v>
      </c>
      <c r="C351" s="14">
        <v>70</v>
      </c>
      <c r="D351" s="23" t="s">
        <v>37</v>
      </c>
      <c r="E351" s="14">
        <v>9</v>
      </c>
      <c r="F351" s="14" t="s">
        <v>36</v>
      </c>
      <c r="G351" s="14">
        <v>679</v>
      </c>
      <c r="H351" s="116">
        <f>Tabla26910[[#This Row],[Total cluster weight (g)]]/COUNTA(A347:A351)</f>
        <v>135.80000000000001</v>
      </c>
    </row>
    <row r="352" spans="1:8" x14ac:dyDescent="0.55000000000000004">
      <c r="A352" s="6" t="s">
        <v>288</v>
      </c>
      <c r="B352" s="7">
        <v>55</v>
      </c>
      <c r="C352" s="7">
        <v>66</v>
      </c>
      <c r="D352" s="9" t="s">
        <v>37</v>
      </c>
      <c r="E352" s="9">
        <v>10</v>
      </c>
      <c r="F352" s="20" t="s">
        <v>35</v>
      </c>
      <c r="G352" s="9"/>
      <c r="H352" s="89"/>
    </row>
    <row r="353" spans="1:8" x14ac:dyDescent="0.55000000000000004">
      <c r="A353" s="8" t="s">
        <v>253</v>
      </c>
      <c r="B353" s="9">
        <v>54</v>
      </c>
      <c r="C353" s="9">
        <v>64</v>
      </c>
      <c r="D353" s="9" t="s">
        <v>37</v>
      </c>
      <c r="E353" s="9">
        <v>10</v>
      </c>
      <c r="F353" s="9" t="s">
        <v>36</v>
      </c>
      <c r="G353" s="9"/>
      <c r="H353" s="89"/>
    </row>
    <row r="354" spans="1:8" x14ac:dyDescent="0.55000000000000004">
      <c r="A354" s="10" t="s">
        <v>289</v>
      </c>
      <c r="B354" s="9">
        <v>57</v>
      </c>
      <c r="C354" s="9">
        <v>68</v>
      </c>
      <c r="D354" s="9" t="s">
        <v>37</v>
      </c>
      <c r="E354" s="9">
        <v>10</v>
      </c>
      <c r="F354" s="9" t="s">
        <v>35</v>
      </c>
      <c r="G354" s="9"/>
      <c r="H354" s="89"/>
    </row>
    <row r="355" spans="1:8" x14ac:dyDescent="0.55000000000000004">
      <c r="A355" s="11" t="s">
        <v>233</v>
      </c>
      <c r="B355" s="12">
        <v>59</v>
      </c>
      <c r="C355" s="12">
        <v>76</v>
      </c>
      <c r="D355" s="9" t="s">
        <v>37</v>
      </c>
      <c r="E355" s="9">
        <v>10</v>
      </c>
      <c r="F355" s="9" t="s">
        <v>36</v>
      </c>
      <c r="G355" s="9"/>
      <c r="H355" s="89"/>
    </row>
    <row r="356" spans="1:8" ht="14.7" thickBot="1" x14ac:dyDescent="0.6">
      <c r="A356" s="13" t="s">
        <v>234</v>
      </c>
      <c r="B356" s="14">
        <v>61</v>
      </c>
      <c r="C356" s="14">
        <v>73</v>
      </c>
      <c r="D356" s="14" t="s">
        <v>37</v>
      </c>
      <c r="E356" s="14">
        <v>10</v>
      </c>
      <c r="F356" s="14" t="s">
        <v>36</v>
      </c>
      <c r="G356" s="14">
        <v>732</v>
      </c>
      <c r="H356" s="116">
        <f>Tabla26910[[#This Row],[Total cluster weight (g)]]/COUNTA(A352:A356)</f>
        <v>146.4</v>
      </c>
    </row>
    <row r="357" spans="1:8" x14ac:dyDescent="0.55000000000000004">
      <c r="A357" s="29"/>
      <c r="B357" s="30"/>
      <c r="C357" s="4"/>
      <c r="D357" s="31"/>
      <c r="E357" s="4"/>
      <c r="F357" s="4"/>
      <c r="G357" s="4"/>
    </row>
    <row r="358" spans="1:8" x14ac:dyDescent="0.55000000000000004">
      <c r="A358" s="59" t="s">
        <v>196</v>
      </c>
      <c r="B358" s="55" t="s">
        <v>162</v>
      </c>
      <c r="C358" s="55" t="s">
        <v>163</v>
      </c>
      <c r="D358" s="55" t="s">
        <v>164</v>
      </c>
      <c r="E358" s="55" t="s">
        <v>165</v>
      </c>
      <c r="F358" s="56" t="s">
        <v>189</v>
      </c>
      <c r="G358" s="110" t="s">
        <v>230</v>
      </c>
    </row>
    <row r="359" spans="1:8" x14ac:dyDescent="0.55000000000000004">
      <c r="A359" s="60" t="s">
        <v>166</v>
      </c>
      <c r="B359" s="57">
        <f>AVERAGE(Tabla26910[Height (mm)])</f>
        <v>53.926829268292686</v>
      </c>
      <c r="C359" s="57">
        <f>AVERAGE(Tabla26910[Width (mm)])</f>
        <v>66.341463414634148</v>
      </c>
      <c r="D359" s="57">
        <f>MAX(Tabla26910[[Cluster number ]])</f>
        <v>10</v>
      </c>
      <c r="E359" s="57">
        <f>AVERAGE(Tabla26910[Tomato average weight per cluster])</f>
        <v>130.53333333333336</v>
      </c>
      <c r="F359" s="58">
        <f>COUNTA(Tabla26910["L7" PLANT])</f>
        <v>41</v>
      </c>
      <c r="G359" s="109">
        <f>SUM(Tabla26910[Total cluster weight (g)])</f>
        <v>5278</v>
      </c>
    </row>
    <row r="361" spans="1:8" ht="14.7" thickBot="1" x14ac:dyDescent="0.6">
      <c r="A361" s="5" t="s">
        <v>108</v>
      </c>
      <c r="B361" t="s">
        <v>3</v>
      </c>
      <c r="C361" t="s">
        <v>4</v>
      </c>
      <c r="D361" t="s">
        <v>5</v>
      </c>
      <c r="E361" t="s">
        <v>6</v>
      </c>
      <c r="F361" t="s">
        <v>7</v>
      </c>
      <c r="G361" t="s">
        <v>8</v>
      </c>
      <c r="H361" s="52" t="s">
        <v>161</v>
      </c>
    </row>
    <row r="362" spans="1:8" x14ac:dyDescent="0.55000000000000004">
      <c r="A362" s="6" t="s">
        <v>9</v>
      </c>
      <c r="B362" s="7">
        <v>53</v>
      </c>
      <c r="C362" s="7">
        <v>68</v>
      </c>
      <c r="D362" s="28" t="s">
        <v>37</v>
      </c>
      <c r="E362" s="12">
        <v>1</v>
      </c>
      <c r="F362" s="9" t="s">
        <v>35</v>
      </c>
      <c r="G362" s="9"/>
      <c r="H362" s="53"/>
    </row>
    <row r="363" spans="1:8" x14ac:dyDescent="0.55000000000000004">
      <c r="A363" s="8" t="s">
        <v>10</v>
      </c>
      <c r="B363" s="9">
        <v>58</v>
      </c>
      <c r="C363" s="9">
        <v>71</v>
      </c>
      <c r="D363" s="28" t="s">
        <v>37</v>
      </c>
      <c r="E363" s="12">
        <v>1</v>
      </c>
      <c r="F363" s="9" t="s">
        <v>36</v>
      </c>
      <c r="G363" s="9"/>
      <c r="H363" s="16"/>
    </row>
    <row r="364" spans="1:8" ht="14.7" thickBot="1" x14ac:dyDescent="0.6">
      <c r="A364" s="35" t="s">
        <v>11</v>
      </c>
      <c r="B364" s="14">
        <v>51</v>
      </c>
      <c r="C364" s="14">
        <v>74</v>
      </c>
      <c r="D364" s="23" t="s">
        <v>37</v>
      </c>
      <c r="E364" s="14">
        <v>1</v>
      </c>
      <c r="F364" s="14" t="s">
        <v>36</v>
      </c>
      <c r="G364" s="14">
        <v>439.5</v>
      </c>
      <c r="H364" s="19">
        <f>Tabla26911[[#This Row],[Total cluster weight (g)]]/COUNTA(A362:A364)</f>
        <v>146.5</v>
      </c>
    </row>
    <row r="365" spans="1:8" x14ac:dyDescent="0.55000000000000004">
      <c r="A365" s="6" t="s">
        <v>12</v>
      </c>
      <c r="B365" s="7">
        <v>55</v>
      </c>
      <c r="C365" s="7">
        <v>64</v>
      </c>
      <c r="D365" s="28" t="s">
        <v>37</v>
      </c>
      <c r="E365" s="12">
        <v>2</v>
      </c>
      <c r="F365" s="9" t="s">
        <v>35</v>
      </c>
      <c r="G365" s="9"/>
      <c r="H365" s="68"/>
    </row>
    <row r="366" spans="1:8" x14ac:dyDescent="0.55000000000000004">
      <c r="A366" s="8" t="s">
        <v>13</v>
      </c>
      <c r="B366" s="9">
        <v>57</v>
      </c>
      <c r="C366" s="9">
        <v>67</v>
      </c>
      <c r="D366" s="28" t="s">
        <v>37</v>
      </c>
      <c r="E366" s="12">
        <v>2</v>
      </c>
      <c r="F366" s="12" t="s">
        <v>36</v>
      </c>
      <c r="G366" s="9"/>
      <c r="H366" s="18"/>
    </row>
    <row r="367" spans="1:8" x14ac:dyDescent="0.55000000000000004">
      <c r="A367" s="10" t="s">
        <v>41</v>
      </c>
      <c r="B367" s="9">
        <v>55</v>
      </c>
      <c r="C367" s="9">
        <v>71</v>
      </c>
      <c r="D367" s="28" t="s">
        <v>37</v>
      </c>
      <c r="E367" s="12">
        <v>2</v>
      </c>
      <c r="F367" s="12" t="s">
        <v>36</v>
      </c>
      <c r="G367" s="9"/>
      <c r="H367" s="16"/>
    </row>
    <row r="368" spans="1:8" x14ac:dyDescent="0.55000000000000004">
      <c r="A368" s="34" t="s">
        <v>42</v>
      </c>
      <c r="B368" s="12">
        <v>60</v>
      </c>
      <c r="C368" s="12">
        <v>70</v>
      </c>
      <c r="D368" s="28" t="s">
        <v>37</v>
      </c>
      <c r="E368" s="12">
        <v>2</v>
      </c>
      <c r="F368" s="12" t="s">
        <v>36</v>
      </c>
      <c r="G368" s="9"/>
      <c r="H368" s="18"/>
    </row>
    <row r="369" spans="1:8" ht="14.7" thickBot="1" x14ac:dyDescent="0.6">
      <c r="A369" s="35" t="s">
        <v>43</v>
      </c>
      <c r="B369" s="14">
        <v>57</v>
      </c>
      <c r="C369" s="14">
        <v>73</v>
      </c>
      <c r="D369" s="23" t="s">
        <v>37</v>
      </c>
      <c r="E369" s="14">
        <v>2</v>
      </c>
      <c r="F369" s="14" t="s">
        <v>36</v>
      </c>
      <c r="G369" s="14">
        <v>723.5</v>
      </c>
      <c r="H369" s="27">
        <f>Tabla26911[[#This Row],[Total cluster weight (g)]]/COUNTA(A365:A369)</f>
        <v>144.69999999999999</v>
      </c>
    </row>
    <row r="370" spans="1:8" x14ac:dyDescent="0.55000000000000004">
      <c r="A370" s="6" t="s">
        <v>139</v>
      </c>
      <c r="B370" s="7">
        <v>56</v>
      </c>
      <c r="C370" s="7">
        <v>64</v>
      </c>
      <c r="D370" s="21" t="s">
        <v>37</v>
      </c>
      <c r="E370" s="9">
        <v>3</v>
      </c>
      <c r="F370" s="9" t="s">
        <v>36</v>
      </c>
      <c r="G370" s="9"/>
      <c r="H370" s="66"/>
    </row>
    <row r="371" spans="1:8" x14ac:dyDescent="0.55000000000000004">
      <c r="A371" s="8" t="s">
        <v>140</v>
      </c>
      <c r="B371" s="9">
        <v>56</v>
      </c>
      <c r="C371" s="9">
        <v>70</v>
      </c>
      <c r="D371" s="21" t="s">
        <v>37</v>
      </c>
      <c r="E371" s="9">
        <v>3</v>
      </c>
      <c r="F371" s="9" t="s">
        <v>36</v>
      </c>
      <c r="G371" s="9"/>
      <c r="H371" s="16"/>
    </row>
    <row r="372" spans="1:8" x14ac:dyDescent="0.55000000000000004">
      <c r="A372" s="10" t="s">
        <v>75</v>
      </c>
      <c r="B372" s="9">
        <v>59</v>
      </c>
      <c r="C372" s="9">
        <v>70</v>
      </c>
      <c r="D372" s="21" t="s">
        <v>37</v>
      </c>
      <c r="E372" s="9">
        <v>3</v>
      </c>
      <c r="F372" s="9" t="s">
        <v>36</v>
      </c>
      <c r="G372" s="9"/>
      <c r="H372" s="18"/>
    </row>
    <row r="373" spans="1:8" x14ac:dyDescent="0.55000000000000004">
      <c r="A373" s="8" t="s">
        <v>50</v>
      </c>
      <c r="B373" s="9">
        <v>59</v>
      </c>
      <c r="C373" s="9">
        <v>68</v>
      </c>
      <c r="D373" s="21" t="s">
        <v>37</v>
      </c>
      <c r="E373" s="9">
        <v>3</v>
      </c>
      <c r="F373" s="9" t="s">
        <v>36</v>
      </c>
      <c r="G373" s="9"/>
      <c r="H373" s="16"/>
    </row>
    <row r="374" spans="1:8" ht="14.7" thickBot="1" x14ac:dyDescent="0.6">
      <c r="A374" s="13" t="s">
        <v>51</v>
      </c>
      <c r="B374" s="14">
        <v>61</v>
      </c>
      <c r="C374" s="14">
        <v>70</v>
      </c>
      <c r="D374" s="23" t="s">
        <v>37</v>
      </c>
      <c r="E374" s="14">
        <v>3</v>
      </c>
      <c r="F374" s="14" t="s">
        <v>36</v>
      </c>
      <c r="G374" s="14">
        <v>707.5</v>
      </c>
      <c r="H374" s="27">
        <f>Tabla26911[[#This Row],[Total cluster weight (g)]]/COUNTA(A370:A374)</f>
        <v>141.5</v>
      </c>
    </row>
    <row r="375" spans="1:8" x14ac:dyDescent="0.55000000000000004">
      <c r="A375" s="6" t="s">
        <v>52</v>
      </c>
      <c r="B375" s="7">
        <v>55</v>
      </c>
      <c r="C375" s="7">
        <v>67</v>
      </c>
      <c r="D375" s="21" t="s">
        <v>37</v>
      </c>
      <c r="E375" s="9">
        <v>4</v>
      </c>
      <c r="F375" s="9" t="s">
        <v>35</v>
      </c>
      <c r="G375" s="9"/>
      <c r="H375" s="68"/>
    </row>
    <row r="376" spans="1:8" x14ac:dyDescent="0.55000000000000004">
      <c r="A376" s="8" t="s">
        <v>53</v>
      </c>
      <c r="B376" s="9">
        <v>52</v>
      </c>
      <c r="C376" s="9">
        <v>72</v>
      </c>
      <c r="D376" s="21" t="s">
        <v>37</v>
      </c>
      <c r="E376" s="9">
        <v>4</v>
      </c>
      <c r="F376" s="9" t="s">
        <v>35</v>
      </c>
      <c r="G376" s="9"/>
      <c r="H376" s="18"/>
    </row>
    <row r="377" spans="1:8" x14ac:dyDescent="0.55000000000000004">
      <c r="A377" s="10" t="s">
        <v>80</v>
      </c>
      <c r="B377" s="9">
        <v>52</v>
      </c>
      <c r="C377" s="9">
        <v>70</v>
      </c>
      <c r="D377" s="21" t="s">
        <v>37</v>
      </c>
      <c r="E377" s="9">
        <v>4</v>
      </c>
      <c r="F377" s="9" t="s">
        <v>36</v>
      </c>
      <c r="G377" s="9"/>
      <c r="H377" s="16"/>
    </row>
    <row r="378" spans="1:8" x14ac:dyDescent="0.55000000000000004">
      <c r="A378" s="11" t="s">
        <v>81</v>
      </c>
      <c r="B378" s="12">
        <v>55</v>
      </c>
      <c r="C378" s="12">
        <v>72</v>
      </c>
      <c r="D378" s="21" t="s">
        <v>37</v>
      </c>
      <c r="E378" s="9">
        <v>4</v>
      </c>
      <c r="F378" s="9" t="s">
        <v>36</v>
      </c>
      <c r="G378" s="9"/>
      <c r="H378" s="5"/>
    </row>
    <row r="379" spans="1:8" ht="14.7" thickBot="1" x14ac:dyDescent="0.6">
      <c r="A379" s="13" t="s">
        <v>66</v>
      </c>
      <c r="B379" s="14">
        <v>56</v>
      </c>
      <c r="C379" s="14">
        <v>74</v>
      </c>
      <c r="D379" s="23" t="s">
        <v>37</v>
      </c>
      <c r="E379" s="14">
        <v>4</v>
      </c>
      <c r="F379" s="14" t="s">
        <v>36</v>
      </c>
      <c r="G379" s="14">
        <v>752.5</v>
      </c>
      <c r="H379" s="27">
        <f>Tabla26911[[#This Row],[Total cluster weight (g)]]/COUNTA(A375:A379)</f>
        <v>150.5</v>
      </c>
    </row>
    <row r="380" spans="1:8" x14ac:dyDescent="0.55000000000000004">
      <c r="A380" s="6" t="s">
        <v>67</v>
      </c>
      <c r="B380" s="7">
        <v>52</v>
      </c>
      <c r="C380" s="7">
        <v>65</v>
      </c>
      <c r="D380" s="21" t="s">
        <v>37</v>
      </c>
      <c r="E380" s="20">
        <v>5</v>
      </c>
      <c r="F380" s="20" t="s">
        <v>35</v>
      </c>
      <c r="G380" s="9"/>
      <c r="H380" s="96"/>
    </row>
    <row r="381" spans="1:8" x14ac:dyDescent="0.55000000000000004">
      <c r="A381" s="8" t="s">
        <v>71</v>
      </c>
      <c r="B381" s="9">
        <v>57</v>
      </c>
      <c r="C381" s="9">
        <v>67</v>
      </c>
      <c r="D381" s="21" t="s">
        <v>37</v>
      </c>
      <c r="E381" s="9">
        <v>5</v>
      </c>
      <c r="F381" s="9" t="s">
        <v>35</v>
      </c>
      <c r="G381" s="9"/>
      <c r="H381" s="96"/>
    </row>
    <row r="382" spans="1:8" x14ac:dyDescent="0.55000000000000004">
      <c r="A382" s="10" t="s">
        <v>89</v>
      </c>
      <c r="B382" s="9">
        <v>54</v>
      </c>
      <c r="C382" s="9">
        <v>64</v>
      </c>
      <c r="D382" s="21" t="s">
        <v>37</v>
      </c>
      <c r="E382" s="9">
        <v>5</v>
      </c>
      <c r="F382" s="9" t="s">
        <v>36</v>
      </c>
      <c r="G382" s="9"/>
      <c r="H382" s="96"/>
    </row>
    <row r="383" spans="1:8" x14ac:dyDescent="0.55000000000000004">
      <c r="A383" s="11" t="s">
        <v>92</v>
      </c>
      <c r="B383" s="12">
        <v>55</v>
      </c>
      <c r="C383" s="12">
        <v>66</v>
      </c>
      <c r="D383" s="21" t="s">
        <v>37</v>
      </c>
      <c r="E383" s="9">
        <v>5</v>
      </c>
      <c r="F383" s="9" t="s">
        <v>36</v>
      </c>
      <c r="G383" s="9"/>
      <c r="H383" s="96"/>
    </row>
    <row r="384" spans="1:8" ht="14.7" thickBot="1" x14ac:dyDescent="0.6">
      <c r="A384" s="13" t="s">
        <v>93</v>
      </c>
      <c r="B384" s="14">
        <v>56</v>
      </c>
      <c r="C384" s="14">
        <v>68</v>
      </c>
      <c r="D384" s="23" t="s">
        <v>37</v>
      </c>
      <c r="E384" s="22">
        <v>5</v>
      </c>
      <c r="F384" s="22" t="s">
        <v>36</v>
      </c>
      <c r="G384" s="14">
        <v>638.5</v>
      </c>
      <c r="H384" s="27">
        <f>Tabla26911[[#This Row],[Total cluster weight (g)]]/COUNTA(A380:A384)</f>
        <v>127.7</v>
      </c>
    </row>
    <row r="385" spans="1:8" x14ac:dyDescent="0.55000000000000004">
      <c r="A385" s="6" t="s">
        <v>94</v>
      </c>
      <c r="B385" s="7">
        <v>58</v>
      </c>
      <c r="C385" s="7">
        <v>71</v>
      </c>
      <c r="D385" s="21" t="s">
        <v>37</v>
      </c>
      <c r="E385" s="9">
        <v>6</v>
      </c>
      <c r="F385" s="9" t="s">
        <v>35</v>
      </c>
      <c r="G385" s="9"/>
      <c r="H385" s="96"/>
    </row>
    <row r="386" spans="1:8" x14ac:dyDescent="0.55000000000000004">
      <c r="A386" s="8" t="s">
        <v>95</v>
      </c>
      <c r="B386" s="9">
        <v>59</v>
      </c>
      <c r="C386" s="9">
        <v>66</v>
      </c>
      <c r="D386" s="21" t="s">
        <v>37</v>
      </c>
      <c r="E386" s="9">
        <v>6</v>
      </c>
      <c r="F386" s="9" t="s">
        <v>35</v>
      </c>
      <c r="G386" s="9"/>
      <c r="H386" s="96"/>
    </row>
    <row r="387" spans="1:8" x14ac:dyDescent="0.55000000000000004">
      <c r="A387" s="10" t="s">
        <v>144</v>
      </c>
      <c r="B387" s="9">
        <v>56</v>
      </c>
      <c r="C387" s="9">
        <v>70</v>
      </c>
      <c r="D387" s="21" t="s">
        <v>37</v>
      </c>
      <c r="E387" s="9">
        <v>6</v>
      </c>
      <c r="F387" s="9" t="s">
        <v>36</v>
      </c>
      <c r="G387" s="9"/>
      <c r="H387" s="96"/>
    </row>
    <row r="388" spans="1:8" x14ac:dyDescent="0.55000000000000004">
      <c r="A388" s="11" t="s">
        <v>150</v>
      </c>
      <c r="B388" s="12">
        <v>59</v>
      </c>
      <c r="C388" s="12">
        <v>71</v>
      </c>
      <c r="D388" s="21" t="s">
        <v>37</v>
      </c>
      <c r="E388" s="9">
        <v>6</v>
      </c>
      <c r="F388" s="9" t="s">
        <v>36</v>
      </c>
      <c r="G388" s="9"/>
      <c r="H388" s="96"/>
    </row>
    <row r="389" spans="1:8" ht="14.7" thickBot="1" x14ac:dyDescent="0.6">
      <c r="A389" s="13" t="s">
        <v>151</v>
      </c>
      <c r="B389" s="14">
        <v>55</v>
      </c>
      <c r="C389" s="14">
        <v>70</v>
      </c>
      <c r="D389" s="23" t="s">
        <v>37</v>
      </c>
      <c r="E389" s="14">
        <v>6</v>
      </c>
      <c r="F389" s="14" t="s">
        <v>36</v>
      </c>
      <c r="G389" s="14">
        <v>747.5</v>
      </c>
      <c r="H389" s="27">
        <f>Tabla26911[[#This Row],[Total cluster weight (g)]]/COUNTA(A385:A389)</f>
        <v>149.5</v>
      </c>
    </row>
    <row r="390" spans="1:8" x14ac:dyDescent="0.55000000000000004">
      <c r="A390" s="34" t="s">
        <v>152</v>
      </c>
      <c r="B390" s="12">
        <v>53</v>
      </c>
      <c r="C390" s="12">
        <v>67</v>
      </c>
      <c r="D390" s="28" t="s">
        <v>37</v>
      </c>
      <c r="E390" s="12">
        <v>7</v>
      </c>
      <c r="F390" s="12" t="s">
        <v>35</v>
      </c>
      <c r="G390" s="12"/>
      <c r="H390" s="118"/>
    </row>
    <row r="391" spans="1:8" x14ac:dyDescent="0.55000000000000004">
      <c r="A391" s="10" t="s">
        <v>153</v>
      </c>
      <c r="B391" s="9">
        <v>55</v>
      </c>
      <c r="C391" s="9">
        <v>73</v>
      </c>
      <c r="D391" s="21" t="s">
        <v>37</v>
      </c>
      <c r="E391" s="9">
        <v>7</v>
      </c>
      <c r="F391" s="9" t="s">
        <v>35</v>
      </c>
      <c r="G391" s="9"/>
      <c r="H391" s="89"/>
    </row>
    <row r="392" spans="1:8" x14ac:dyDescent="0.55000000000000004">
      <c r="A392" s="10" t="s">
        <v>158</v>
      </c>
      <c r="B392" s="9">
        <v>60</v>
      </c>
      <c r="C392" s="9">
        <v>71</v>
      </c>
      <c r="D392" s="21" t="s">
        <v>37</v>
      </c>
      <c r="E392" s="9">
        <v>7</v>
      </c>
      <c r="F392" s="9" t="s">
        <v>36</v>
      </c>
      <c r="G392" s="9"/>
      <c r="H392" s="89"/>
    </row>
    <row r="393" spans="1:8" x14ac:dyDescent="0.55000000000000004">
      <c r="A393" s="10" t="s">
        <v>215</v>
      </c>
      <c r="B393" s="9">
        <v>59</v>
      </c>
      <c r="C393" s="9">
        <v>71</v>
      </c>
      <c r="D393" s="21" t="s">
        <v>37</v>
      </c>
      <c r="E393" s="9">
        <v>7</v>
      </c>
      <c r="F393" s="9" t="s">
        <v>36</v>
      </c>
      <c r="G393" s="9"/>
      <c r="H393" s="89"/>
    </row>
    <row r="394" spans="1:8" ht="14.7" thickBot="1" x14ac:dyDescent="0.6">
      <c r="A394" s="35" t="s">
        <v>216</v>
      </c>
      <c r="B394" s="14">
        <v>58</v>
      </c>
      <c r="C394" s="14">
        <v>72</v>
      </c>
      <c r="D394" s="23" t="s">
        <v>37</v>
      </c>
      <c r="E394" s="14">
        <v>7</v>
      </c>
      <c r="F394" s="14" t="s">
        <v>36</v>
      </c>
      <c r="G394" s="14">
        <v>771</v>
      </c>
      <c r="H394" s="116">
        <f>Tabla26911[[#This Row],[Total cluster weight (g)]]/COUNTA(A390:A394)</f>
        <v>154.19999999999999</v>
      </c>
    </row>
    <row r="395" spans="1:8" x14ac:dyDescent="0.55000000000000004">
      <c r="A395" s="34" t="s">
        <v>217</v>
      </c>
      <c r="B395" s="12">
        <v>59</v>
      </c>
      <c r="C395" s="12">
        <v>73</v>
      </c>
      <c r="D395" s="28" t="s">
        <v>37</v>
      </c>
      <c r="E395" s="12">
        <v>8</v>
      </c>
      <c r="F395" s="12" t="s">
        <v>36</v>
      </c>
      <c r="G395" s="12"/>
      <c r="H395" s="118"/>
    </row>
    <row r="396" spans="1:8" x14ac:dyDescent="0.55000000000000004">
      <c r="A396" s="10" t="s">
        <v>218</v>
      </c>
      <c r="B396" s="9">
        <v>59</v>
      </c>
      <c r="C396" s="9">
        <v>77</v>
      </c>
      <c r="D396" s="21" t="s">
        <v>37</v>
      </c>
      <c r="E396" s="9">
        <v>8</v>
      </c>
      <c r="F396" s="9" t="s">
        <v>36</v>
      </c>
      <c r="G396" s="9"/>
      <c r="H396" s="89"/>
    </row>
    <row r="397" spans="1:8" x14ac:dyDescent="0.55000000000000004">
      <c r="A397" s="10" t="s">
        <v>219</v>
      </c>
      <c r="B397" s="9">
        <v>59</v>
      </c>
      <c r="C397" s="9">
        <v>68</v>
      </c>
      <c r="D397" s="21" t="s">
        <v>37</v>
      </c>
      <c r="E397" s="9">
        <v>8</v>
      </c>
      <c r="F397" s="9" t="s">
        <v>36</v>
      </c>
      <c r="G397" s="9"/>
      <c r="H397" s="89"/>
    </row>
    <row r="398" spans="1:8" x14ac:dyDescent="0.55000000000000004">
      <c r="A398" s="10" t="s">
        <v>222</v>
      </c>
      <c r="B398" s="9">
        <v>58</v>
      </c>
      <c r="C398" s="9">
        <v>72</v>
      </c>
      <c r="D398" s="21" t="s">
        <v>37</v>
      </c>
      <c r="E398" s="9">
        <v>8</v>
      </c>
      <c r="F398" s="9" t="s">
        <v>36</v>
      </c>
      <c r="G398" s="9"/>
      <c r="H398" s="89"/>
    </row>
    <row r="399" spans="1:8" ht="14.7" thickBot="1" x14ac:dyDescent="0.6">
      <c r="A399" s="35" t="s">
        <v>223</v>
      </c>
      <c r="B399" s="14">
        <v>59</v>
      </c>
      <c r="C399" s="14">
        <v>75</v>
      </c>
      <c r="D399" s="23" t="s">
        <v>37</v>
      </c>
      <c r="E399" s="14">
        <v>8</v>
      </c>
      <c r="F399" s="14" t="s">
        <v>36</v>
      </c>
      <c r="G399" s="14">
        <v>826.5</v>
      </c>
      <c r="H399" s="116">
        <f>Tabla26911[[#This Row],[Total cluster weight (g)]]/COUNTA(A395:A399)</f>
        <v>165.3</v>
      </c>
    </row>
    <row r="400" spans="1:8" x14ac:dyDescent="0.55000000000000004">
      <c r="A400" s="6" t="s">
        <v>232</v>
      </c>
      <c r="B400" s="7">
        <v>60</v>
      </c>
      <c r="C400" s="7">
        <v>70</v>
      </c>
      <c r="D400" s="9" t="s">
        <v>37</v>
      </c>
      <c r="E400" s="9">
        <v>9</v>
      </c>
      <c r="F400" s="20" t="s">
        <v>36</v>
      </c>
      <c r="G400" s="9"/>
      <c r="H400" s="96"/>
    </row>
    <row r="401" spans="1:8" x14ac:dyDescent="0.55000000000000004">
      <c r="A401" s="8" t="s">
        <v>233</v>
      </c>
      <c r="B401" s="9">
        <v>61</v>
      </c>
      <c r="C401" s="9">
        <v>74</v>
      </c>
      <c r="D401" s="9" t="s">
        <v>37</v>
      </c>
      <c r="E401" s="9">
        <v>9</v>
      </c>
      <c r="F401" s="9" t="s">
        <v>36</v>
      </c>
      <c r="G401" s="9"/>
      <c r="H401" s="96"/>
    </row>
    <row r="402" spans="1:8" x14ac:dyDescent="0.55000000000000004">
      <c r="A402" s="10" t="s">
        <v>234</v>
      </c>
      <c r="B402" s="9">
        <v>60</v>
      </c>
      <c r="C402" s="9">
        <v>73</v>
      </c>
      <c r="D402" s="9" t="s">
        <v>37</v>
      </c>
      <c r="E402" s="9">
        <v>9</v>
      </c>
      <c r="F402" s="9" t="s">
        <v>36</v>
      </c>
      <c r="G402" s="9"/>
      <c r="H402" s="96"/>
    </row>
    <row r="403" spans="1:8" x14ac:dyDescent="0.55000000000000004">
      <c r="A403" s="11" t="s">
        <v>235</v>
      </c>
      <c r="B403" s="12">
        <v>63</v>
      </c>
      <c r="C403" s="12">
        <v>74</v>
      </c>
      <c r="D403" s="9" t="s">
        <v>37</v>
      </c>
      <c r="E403" s="9">
        <v>9</v>
      </c>
      <c r="F403" s="9" t="s">
        <v>36</v>
      </c>
      <c r="G403" s="9"/>
      <c r="H403" s="96"/>
    </row>
    <row r="404" spans="1:8" ht="14.7" thickBot="1" x14ac:dyDescent="0.6">
      <c r="A404" s="13" t="s">
        <v>236</v>
      </c>
      <c r="B404" s="14">
        <v>56</v>
      </c>
      <c r="C404" s="14">
        <v>69</v>
      </c>
      <c r="D404" s="14" t="s">
        <v>37</v>
      </c>
      <c r="E404" s="14">
        <v>9</v>
      </c>
      <c r="F404" s="22" t="s">
        <v>36</v>
      </c>
      <c r="G404" s="14">
        <v>865</v>
      </c>
      <c r="H404" s="159">
        <f>Tabla26911[[#This Row],[Total cluster weight (g)]]/COUNTA(A400:A404)</f>
        <v>173</v>
      </c>
    </row>
    <row r="405" spans="1:8" x14ac:dyDescent="0.55000000000000004">
      <c r="A405" s="29"/>
      <c r="B405" s="30"/>
      <c r="C405" s="4"/>
      <c r="D405" s="4"/>
      <c r="E405" s="4"/>
      <c r="F405" s="4"/>
      <c r="G405" s="4"/>
    </row>
    <row r="406" spans="1:8" x14ac:dyDescent="0.55000000000000004">
      <c r="A406" s="59" t="s">
        <v>197</v>
      </c>
      <c r="B406" s="55" t="s">
        <v>162</v>
      </c>
      <c r="C406" s="55" t="s">
        <v>163</v>
      </c>
      <c r="D406" s="55" t="s">
        <v>164</v>
      </c>
      <c r="E406" s="55" t="s">
        <v>165</v>
      </c>
      <c r="F406" s="56" t="s">
        <v>189</v>
      </c>
      <c r="G406" s="110" t="s">
        <v>230</v>
      </c>
    </row>
    <row r="407" spans="1:8" x14ac:dyDescent="0.55000000000000004">
      <c r="A407" s="60" t="s">
        <v>166</v>
      </c>
      <c r="B407" s="57">
        <f>AVERAGE(Tabla26911[Height (mm)])</f>
        <v>56.906976744186046</v>
      </c>
      <c r="C407" s="57">
        <f>AVERAGE(Tabla26911[Width (mm)])</f>
        <v>70.04651162790698</v>
      </c>
      <c r="D407" s="57">
        <f>MAX(Tabla26911[[Cluster number ]])</f>
        <v>9</v>
      </c>
      <c r="E407" s="57">
        <f>AVERAGE(Tabla26911[Tomato average weight per cluster])</f>
        <v>150.32222222222222</v>
      </c>
      <c r="F407" s="58">
        <f>COUNTA(Tabla26911["L8" PLANT])</f>
        <v>43</v>
      </c>
      <c r="G407" s="109">
        <f>SUM(Tabla26911[Total cluster weight (g)])</f>
        <v>6471.5</v>
      </c>
    </row>
    <row r="409" spans="1:8" ht="14.7" thickBot="1" x14ac:dyDescent="0.6">
      <c r="A409" s="5" t="s">
        <v>109</v>
      </c>
      <c r="B409" t="s">
        <v>3</v>
      </c>
      <c r="C409" t="s">
        <v>4</v>
      </c>
      <c r="D409" t="s">
        <v>5</v>
      </c>
      <c r="E409" t="s">
        <v>6</v>
      </c>
      <c r="F409" t="s">
        <v>7</v>
      </c>
      <c r="G409" t="s">
        <v>8</v>
      </c>
      <c r="H409" s="52" t="s">
        <v>161</v>
      </c>
    </row>
    <row r="410" spans="1:8" x14ac:dyDescent="0.55000000000000004">
      <c r="A410" s="6" t="s">
        <v>9</v>
      </c>
      <c r="B410" s="7">
        <v>55</v>
      </c>
      <c r="C410" s="7">
        <v>63</v>
      </c>
      <c r="D410" s="28" t="s">
        <v>37</v>
      </c>
      <c r="E410" s="9">
        <v>1</v>
      </c>
      <c r="F410" s="12" t="s">
        <v>36</v>
      </c>
      <c r="G410" s="9"/>
      <c r="H410" s="66"/>
    </row>
    <row r="411" spans="1:8" x14ac:dyDescent="0.55000000000000004">
      <c r="A411" s="8" t="s">
        <v>10</v>
      </c>
      <c r="B411" s="9">
        <v>53</v>
      </c>
      <c r="C411" s="9">
        <v>69</v>
      </c>
      <c r="D411" s="28" t="s">
        <v>37</v>
      </c>
      <c r="E411" s="9">
        <v>1</v>
      </c>
      <c r="F411" s="12" t="s">
        <v>36</v>
      </c>
      <c r="G411" s="9"/>
      <c r="H411" s="16"/>
    </row>
    <row r="412" spans="1:8" x14ac:dyDescent="0.55000000000000004">
      <c r="A412" s="10" t="s">
        <v>11</v>
      </c>
      <c r="B412" s="9">
        <v>54</v>
      </c>
      <c r="C412" s="9">
        <v>68</v>
      </c>
      <c r="D412" s="28" t="s">
        <v>37</v>
      </c>
      <c r="E412" s="9">
        <v>1</v>
      </c>
      <c r="F412" s="12" t="s">
        <v>36</v>
      </c>
      <c r="G412" s="9"/>
      <c r="H412" s="18"/>
    </row>
    <row r="413" spans="1:8" x14ac:dyDescent="0.55000000000000004">
      <c r="A413" s="11" t="s">
        <v>12</v>
      </c>
      <c r="B413" s="12">
        <v>57</v>
      </c>
      <c r="C413" s="12">
        <v>67</v>
      </c>
      <c r="D413" s="28" t="s">
        <v>37</v>
      </c>
      <c r="E413" s="9">
        <v>1</v>
      </c>
      <c r="F413" s="12" t="s">
        <v>36</v>
      </c>
      <c r="G413" s="9"/>
      <c r="H413" s="16"/>
    </row>
    <row r="414" spans="1:8" ht="14.7" thickBot="1" x14ac:dyDescent="0.6">
      <c r="A414" s="13" t="s">
        <v>13</v>
      </c>
      <c r="B414" s="14">
        <v>56</v>
      </c>
      <c r="C414" s="14">
        <v>70</v>
      </c>
      <c r="D414" s="23" t="s">
        <v>37</v>
      </c>
      <c r="E414" s="14">
        <v>1</v>
      </c>
      <c r="F414" s="14" t="s">
        <v>36</v>
      </c>
      <c r="G414" s="14">
        <v>671</v>
      </c>
      <c r="H414" s="19">
        <f>Tabla26912[[#This Row],[Total cluster weight (g)]]/COUNTA(A410:A414)</f>
        <v>134.19999999999999</v>
      </c>
    </row>
    <row r="415" spans="1:8" x14ac:dyDescent="0.55000000000000004">
      <c r="A415" s="6" t="s">
        <v>41</v>
      </c>
      <c r="B415" s="9">
        <v>52</v>
      </c>
      <c r="C415" s="9">
        <v>64</v>
      </c>
      <c r="D415" s="28" t="s">
        <v>37</v>
      </c>
      <c r="E415" s="9">
        <v>2</v>
      </c>
      <c r="F415" s="12" t="s">
        <v>35</v>
      </c>
      <c r="G415" s="9"/>
      <c r="H415" s="68"/>
    </row>
    <row r="416" spans="1:8" x14ac:dyDescent="0.55000000000000004">
      <c r="A416" s="8" t="s">
        <v>42</v>
      </c>
      <c r="B416" s="9">
        <v>55</v>
      </c>
      <c r="C416" s="9">
        <v>64</v>
      </c>
      <c r="D416" s="21" t="s">
        <v>37</v>
      </c>
      <c r="E416" s="9">
        <v>2</v>
      </c>
      <c r="F416" s="9" t="s">
        <v>35</v>
      </c>
      <c r="G416" s="9"/>
      <c r="H416" s="18"/>
    </row>
    <row r="417" spans="1:9" x14ac:dyDescent="0.55000000000000004">
      <c r="A417" s="10" t="s">
        <v>43</v>
      </c>
      <c r="B417" s="9">
        <v>54</v>
      </c>
      <c r="C417" s="9">
        <v>67</v>
      </c>
      <c r="D417" s="21" t="s">
        <v>37</v>
      </c>
      <c r="E417" s="9">
        <v>2</v>
      </c>
      <c r="F417" s="9" t="s">
        <v>35</v>
      </c>
      <c r="G417" s="9"/>
      <c r="H417" s="16"/>
    </row>
    <row r="418" spans="1:9" x14ac:dyDescent="0.55000000000000004">
      <c r="A418" s="11" t="s">
        <v>47</v>
      </c>
      <c r="B418" s="9">
        <v>51</v>
      </c>
      <c r="C418" s="9">
        <v>67</v>
      </c>
      <c r="D418" s="21" t="s">
        <v>37</v>
      </c>
      <c r="E418" s="9">
        <v>2</v>
      </c>
      <c r="F418" s="9" t="s">
        <v>36</v>
      </c>
      <c r="G418" s="9"/>
      <c r="H418" s="18"/>
    </row>
    <row r="419" spans="1:9" x14ac:dyDescent="0.55000000000000004">
      <c r="A419" s="10" t="s">
        <v>48</v>
      </c>
      <c r="B419" s="9">
        <v>56</v>
      </c>
      <c r="C419" s="9">
        <v>70</v>
      </c>
      <c r="D419" s="21" t="s">
        <v>37</v>
      </c>
      <c r="E419" s="9">
        <v>2</v>
      </c>
      <c r="F419" s="9" t="s">
        <v>36</v>
      </c>
      <c r="G419" s="9"/>
      <c r="H419" s="16"/>
    </row>
    <row r="420" spans="1:9" ht="14.7" thickBot="1" x14ac:dyDescent="0.6">
      <c r="A420" s="13" t="s">
        <v>49</v>
      </c>
      <c r="B420" s="14">
        <v>52</v>
      </c>
      <c r="C420" s="14">
        <v>70</v>
      </c>
      <c r="D420" s="23" t="s">
        <v>37</v>
      </c>
      <c r="E420" s="14">
        <v>2</v>
      </c>
      <c r="F420" s="14" t="s">
        <v>36</v>
      </c>
      <c r="G420" s="14">
        <v>764.5</v>
      </c>
      <c r="H420" s="19">
        <f>Tabla26912[[#This Row],[Total cluster weight (g)]]/COUNTA(A415:A420)</f>
        <v>127.41666666666667</v>
      </c>
    </row>
    <row r="421" spans="1:9" x14ac:dyDescent="0.55000000000000004">
      <c r="A421" s="11" t="s">
        <v>141</v>
      </c>
      <c r="B421" s="12">
        <v>54</v>
      </c>
      <c r="C421" s="12">
        <v>68</v>
      </c>
      <c r="D421" s="28" t="s">
        <v>37</v>
      </c>
      <c r="E421" s="12">
        <v>3</v>
      </c>
      <c r="F421" s="12" t="s">
        <v>36</v>
      </c>
      <c r="G421" s="12"/>
      <c r="H421" s="68"/>
      <c r="I421" t="s">
        <v>56</v>
      </c>
    </row>
    <row r="422" spans="1:9" x14ac:dyDescent="0.55000000000000004">
      <c r="A422" s="8" t="s">
        <v>91</v>
      </c>
      <c r="B422" s="9">
        <v>52</v>
      </c>
      <c r="C422" s="9">
        <v>64</v>
      </c>
      <c r="D422" s="21" t="s">
        <v>37</v>
      </c>
      <c r="E422" s="9">
        <v>3</v>
      </c>
      <c r="F422" s="9" t="s">
        <v>36</v>
      </c>
      <c r="G422" s="9"/>
      <c r="H422" s="18"/>
    </row>
    <row r="423" spans="1:9" x14ac:dyDescent="0.55000000000000004">
      <c r="A423" s="10" t="s">
        <v>142</v>
      </c>
      <c r="B423" s="9">
        <v>55</v>
      </c>
      <c r="C423" s="9">
        <v>66</v>
      </c>
      <c r="D423" s="21" t="s">
        <v>37</v>
      </c>
      <c r="E423" s="9">
        <v>3</v>
      </c>
      <c r="F423" s="9" t="s">
        <v>36</v>
      </c>
      <c r="G423" s="9"/>
      <c r="H423" s="16"/>
    </row>
    <row r="424" spans="1:9" x14ac:dyDescent="0.55000000000000004">
      <c r="A424" s="11" t="s">
        <v>53</v>
      </c>
      <c r="B424" s="9">
        <v>53</v>
      </c>
      <c r="C424" s="9">
        <v>64</v>
      </c>
      <c r="D424" s="21" t="s">
        <v>37</v>
      </c>
      <c r="E424" s="9">
        <v>3</v>
      </c>
      <c r="F424" s="9" t="s">
        <v>36</v>
      </c>
      <c r="G424" s="9"/>
      <c r="H424" s="18"/>
    </row>
    <row r="425" spans="1:9" ht="14.7" thickBot="1" x14ac:dyDescent="0.6">
      <c r="A425" s="13" t="s">
        <v>80</v>
      </c>
      <c r="B425" s="14">
        <v>57</v>
      </c>
      <c r="C425" s="14">
        <v>69</v>
      </c>
      <c r="D425" s="23" t="s">
        <v>37</v>
      </c>
      <c r="E425" s="14">
        <v>3</v>
      </c>
      <c r="F425" s="14" t="s">
        <v>36</v>
      </c>
      <c r="G425" s="14">
        <v>639.5</v>
      </c>
      <c r="H425" s="27">
        <f>Tabla26912[[#This Row],[Total cluster weight (g)]]/COUNTA(A421:A425)</f>
        <v>127.9</v>
      </c>
    </row>
    <row r="426" spans="1:9" x14ac:dyDescent="0.55000000000000004">
      <c r="A426" s="6" t="s">
        <v>81</v>
      </c>
      <c r="B426" s="9">
        <v>52</v>
      </c>
      <c r="C426" s="9">
        <v>63</v>
      </c>
      <c r="D426" s="28" t="s">
        <v>37</v>
      </c>
      <c r="E426" s="9">
        <v>4</v>
      </c>
      <c r="F426" s="12" t="s">
        <v>35</v>
      </c>
      <c r="G426" s="9"/>
      <c r="H426" s="12"/>
    </row>
    <row r="427" spans="1:9" x14ac:dyDescent="0.55000000000000004">
      <c r="A427" s="8" t="s">
        <v>66</v>
      </c>
      <c r="B427" s="9">
        <v>50</v>
      </c>
      <c r="C427" s="9">
        <v>63</v>
      </c>
      <c r="D427" s="21" t="s">
        <v>37</v>
      </c>
      <c r="E427" s="9">
        <v>4</v>
      </c>
      <c r="F427" s="9" t="s">
        <v>35</v>
      </c>
      <c r="G427" s="9"/>
      <c r="H427" s="9"/>
    </row>
    <row r="428" spans="1:9" x14ac:dyDescent="0.55000000000000004">
      <c r="A428" s="10" t="s">
        <v>67</v>
      </c>
      <c r="B428" s="9">
        <v>53</v>
      </c>
      <c r="C428" s="9">
        <v>65</v>
      </c>
      <c r="D428" s="21" t="s">
        <v>37</v>
      </c>
      <c r="E428" s="9">
        <v>4</v>
      </c>
      <c r="F428" s="9" t="s">
        <v>36</v>
      </c>
      <c r="G428" s="9"/>
      <c r="H428" s="9"/>
    </row>
    <row r="429" spans="1:9" x14ac:dyDescent="0.55000000000000004">
      <c r="A429" s="11" t="s">
        <v>71</v>
      </c>
      <c r="B429" s="9">
        <v>54</v>
      </c>
      <c r="C429" s="9">
        <v>67</v>
      </c>
      <c r="D429" s="21" t="s">
        <v>37</v>
      </c>
      <c r="E429" s="9">
        <v>4</v>
      </c>
      <c r="F429" s="9" t="s">
        <v>36</v>
      </c>
      <c r="G429" s="9"/>
      <c r="H429" s="9"/>
    </row>
    <row r="430" spans="1:9" ht="14.7" thickBot="1" x14ac:dyDescent="0.6">
      <c r="A430" s="13" t="s">
        <v>89</v>
      </c>
      <c r="B430" s="14">
        <v>54</v>
      </c>
      <c r="C430" s="14">
        <v>66</v>
      </c>
      <c r="D430" s="23" t="s">
        <v>37</v>
      </c>
      <c r="E430" s="14">
        <v>4</v>
      </c>
      <c r="F430" s="14" t="s">
        <v>36</v>
      </c>
      <c r="G430" s="14">
        <v>604</v>
      </c>
      <c r="H430" s="19">
        <f>Tabla26912[[#This Row],[Total cluster weight (g)]]/COUNTA(A426:A430)</f>
        <v>120.8</v>
      </c>
    </row>
    <row r="431" spans="1:9" x14ac:dyDescent="0.55000000000000004">
      <c r="A431" s="6" t="s">
        <v>92</v>
      </c>
      <c r="B431" s="7">
        <v>50</v>
      </c>
      <c r="C431" s="7">
        <v>60</v>
      </c>
      <c r="D431" s="21" t="s">
        <v>37</v>
      </c>
      <c r="E431" s="9">
        <v>5</v>
      </c>
      <c r="F431" s="9" t="s">
        <v>35</v>
      </c>
      <c r="G431" s="9"/>
      <c r="H431" s="103"/>
    </row>
    <row r="432" spans="1:9" x14ac:dyDescent="0.55000000000000004">
      <c r="A432" s="8" t="s">
        <v>93</v>
      </c>
      <c r="B432" s="9">
        <v>51</v>
      </c>
      <c r="C432" s="9">
        <v>62</v>
      </c>
      <c r="D432" s="21" t="s">
        <v>37</v>
      </c>
      <c r="E432" s="9">
        <v>5</v>
      </c>
      <c r="F432" s="9" t="s">
        <v>36</v>
      </c>
      <c r="G432" s="9"/>
      <c r="H432" s="90"/>
    </row>
    <row r="433" spans="1:9" x14ac:dyDescent="0.55000000000000004">
      <c r="A433" s="10" t="s">
        <v>94</v>
      </c>
      <c r="B433" s="9">
        <v>49</v>
      </c>
      <c r="C433" s="9">
        <v>59</v>
      </c>
      <c r="D433" s="21" t="s">
        <v>37</v>
      </c>
      <c r="E433" s="9">
        <v>5</v>
      </c>
      <c r="F433" s="9" t="s">
        <v>36</v>
      </c>
      <c r="G433" s="9"/>
      <c r="H433" s="16"/>
    </row>
    <row r="434" spans="1:9" x14ac:dyDescent="0.55000000000000004">
      <c r="A434" s="11" t="s">
        <v>95</v>
      </c>
      <c r="B434" s="12">
        <v>50</v>
      </c>
      <c r="C434" s="12">
        <v>59</v>
      </c>
      <c r="D434" s="21" t="s">
        <v>37</v>
      </c>
      <c r="E434" s="9">
        <v>5</v>
      </c>
      <c r="F434" s="9" t="s">
        <v>36</v>
      </c>
      <c r="G434" s="9"/>
      <c r="H434" s="95"/>
    </row>
    <row r="435" spans="1:9" ht="14.7" thickBot="1" x14ac:dyDescent="0.6">
      <c r="A435" s="13" t="s">
        <v>144</v>
      </c>
      <c r="B435" s="14">
        <v>49</v>
      </c>
      <c r="C435" s="14">
        <v>62</v>
      </c>
      <c r="D435" s="23" t="s">
        <v>37</v>
      </c>
      <c r="E435" s="14">
        <v>5</v>
      </c>
      <c r="F435" s="14" t="s">
        <v>36</v>
      </c>
      <c r="G435" s="14">
        <v>490</v>
      </c>
      <c r="H435" s="27">
        <f>Tabla26912[[#This Row],[Total cluster weight (g)]]/COUNTA(A431:A435)</f>
        <v>98</v>
      </c>
    </row>
    <row r="436" spans="1:9" x14ac:dyDescent="0.55000000000000004">
      <c r="A436" s="29" t="s">
        <v>150</v>
      </c>
      <c r="B436" s="9">
        <v>50</v>
      </c>
      <c r="C436" s="9">
        <v>62</v>
      </c>
      <c r="D436" s="28" t="s">
        <v>37</v>
      </c>
      <c r="E436" s="9">
        <v>6</v>
      </c>
      <c r="F436" s="12" t="s">
        <v>36</v>
      </c>
      <c r="G436" s="9"/>
      <c r="H436" s="89"/>
    </row>
    <row r="437" spans="1:9" x14ac:dyDescent="0.55000000000000004">
      <c r="A437" s="29" t="s">
        <v>151</v>
      </c>
      <c r="B437" s="9">
        <v>49</v>
      </c>
      <c r="C437" s="9">
        <v>62</v>
      </c>
      <c r="D437" s="28" t="s">
        <v>37</v>
      </c>
      <c r="E437" s="9">
        <v>6</v>
      </c>
      <c r="F437" s="12" t="s">
        <v>36</v>
      </c>
      <c r="G437" s="9"/>
      <c r="H437" s="89"/>
    </row>
    <row r="438" spans="1:9" x14ac:dyDescent="0.55000000000000004">
      <c r="A438" s="29" t="s">
        <v>152</v>
      </c>
      <c r="B438" s="9">
        <v>53</v>
      </c>
      <c r="C438" s="9">
        <v>65</v>
      </c>
      <c r="D438" s="28" t="s">
        <v>37</v>
      </c>
      <c r="E438" s="9">
        <v>6</v>
      </c>
      <c r="F438" s="12" t="s">
        <v>36</v>
      </c>
      <c r="G438" s="9"/>
      <c r="H438" s="89"/>
    </row>
    <row r="439" spans="1:9" x14ac:dyDescent="0.55000000000000004">
      <c r="A439" s="29" t="s">
        <v>153</v>
      </c>
      <c r="B439" s="9">
        <v>53</v>
      </c>
      <c r="C439" s="9">
        <v>62</v>
      </c>
      <c r="D439" s="28" t="s">
        <v>37</v>
      </c>
      <c r="E439" s="9">
        <v>6</v>
      </c>
      <c r="F439" s="12" t="s">
        <v>36</v>
      </c>
      <c r="G439" s="9"/>
      <c r="H439" s="89"/>
    </row>
    <row r="440" spans="1:9" ht="14.7" thickBot="1" x14ac:dyDescent="0.6">
      <c r="A440" s="91" t="s">
        <v>158</v>
      </c>
      <c r="B440" s="14">
        <v>52</v>
      </c>
      <c r="C440" s="14">
        <v>67</v>
      </c>
      <c r="D440" s="26" t="s">
        <v>37</v>
      </c>
      <c r="E440" s="14">
        <v>6</v>
      </c>
      <c r="F440" s="22" t="s">
        <v>36</v>
      </c>
      <c r="G440" s="14">
        <v>572.5</v>
      </c>
      <c r="H440" s="116">
        <f>Tabla26912[[#This Row],[Total cluster weight (g)]]/COUNTA(A436:A440)</f>
        <v>114.5</v>
      </c>
    </row>
    <row r="441" spans="1:9" x14ac:dyDescent="0.55000000000000004">
      <c r="A441" s="29" t="s">
        <v>215</v>
      </c>
      <c r="B441" s="9">
        <v>50</v>
      </c>
      <c r="C441" s="9">
        <v>63</v>
      </c>
      <c r="D441" s="28" t="s">
        <v>37</v>
      </c>
      <c r="E441" s="9">
        <v>7</v>
      </c>
      <c r="F441" s="12" t="s">
        <v>36</v>
      </c>
      <c r="G441" s="9"/>
      <c r="H441" s="89"/>
    </row>
    <row r="442" spans="1:9" x14ac:dyDescent="0.55000000000000004">
      <c r="A442" s="29" t="s">
        <v>216</v>
      </c>
      <c r="B442" s="9">
        <v>54</v>
      </c>
      <c r="C442" s="9">
        <v>66</v>
      </c>
      <c r="D442" s="28" t="s">
        <v>37</v>
      </c>
      <c r="E442" s="9">
        <v>7</v>
      </c>
      <c r="F442" s="12" t="s">
        <v>36</v>
      </c>
      <c r="G442" s="9"/>
      <c r="H442" s="89"/>
    </row>
    <row r="443" spans="1:9" x14ac:dyDescent="0.55000000000000004">
      <c r="A443" s="29" t="s">
        <v>217</v>
      </c>
      <c r="B443" s="9">
        <v>54</v>
      </c>
      <c r="C443" s="9">
        <v>68</v>
      </c>
      <c r="D443" s="28" t="s">
        <v>37</v>
      </c>
      <c r="E443" s="9">
        <v>7</v>
      </c>
      <c r="F443" s="12" t="s">
        <v>36</v>
      </c>
      <c r="G443" s="9"/>
      <c r="H443" s="89"/>
    </row>
    <row r="444" spans="1:9" x14ac:dyDescent="0.55000000000000004">
      <c r="A444" s="29" t="s">
        <v>218</v>
      </c>
      <c r="B444" s="9">
        <v>55</v>
      </c>
      <c r="C444" s="9">
        <v>70</v>
      </c>
      <c r="D444" s="28" t="s">
        <v>37</v>
      </c>
      <c r="E444" s="9">
        <v>7</v>
      </c>
      <c r="F444" s="12" t="s">
        <v>36</v>
      </c>
      <c r="G444" s="9"/>
      <c r="H444" s="89"/>
    </row>
    <row r="445" spans="1:9" ht="14.7" thickBot="1" x14ac:dyDescent="0.6">
      <c r="A445" s="91" t="s">
        <v>219</v>
      </c>
      <c r="B445" s="14">
        <v>54</v>
      </c>
      <c r="C445" s="14">
        <v>65</v>
      </c>
      <c r="D445" s="26" t="s">
        <v>37</v>
      </c>
      <c r="E445" s="14">
        <v>7</v>
      </c>
      <c r="F445" s="22" t="s">
        <v>36</v>
      </c>
      <c r="G445" s="14">
        <v>652</v>
      </c>
      <c r="H445" s="116">
        <f>Tabla26912[[#This Row],[Total cluster weight (g)]]/COUNTA(A441:A445)</f>
        <v>130.4</v>
      </c>
    </row>
    <row r="446" spans="1:9" x14ac:dyDescent="0.55000000000000004">
      <c r="A446" s="6" t="s">
        <v>288</v>
      </c>
      <c r="B446" s="9">
        <v>51</v>
      </c>
      <c r="C446" s="9">
        <v>65</v>
      </c>
      <c r="D446" s="28" t="s">
        <v>37</v>
      </c>
      <c r="E446" s="9">
        <v>8</v>
      </c>
      <c r="F446" s="12" t="s">
        <v>68</v>
      </c>
      <c r="G446" s="9"/>
      <c r="H446" s="88"/>
      <c r="I446" t="s">
        <v>56</v>
      </c>
    </row>
    <row r="447" spans="1:9" x14ac:dyDescent="0.55000000000000004">
      <c r="A447" s="8" t="s">
        <v>253</v>
      </c>
      <c r="B447" s="9">
        <v>51</v>
      </c>
      <c r="C447" s="9">
        <v>65</v>
      </c>
      <c r="D447" s="28" t="s">
        <v>37</v>
      </c>
      <c r="E447" s="9">
        <v>8</v>
      </c>
      <c r="F447" s="12" t="s">
        <v>35</v>
      </c>
      <c r="G447" s="9"/>
      <c r="H447" s="88"/>
    </row>
    <row r="448" spans="1:9" x14ac:dyDescent="0.55000000000000004">
      <c r="A448" s="10" t="s">
        <v>290</v>
      </c>
      <c r="B448" s="9">
        <v>54</v>
      </c>
      <c r="C448" s="9">
        <v>64</v>
      </c>
      <c r="D448" s="28" t="s">
        <v>37</v>
      </c>
      <c r="E448" s="9">
        <v>8</v>
      </c>
      <c r="F448" s="12" t="s">
        <v>36</v>
      </c>
      <c r="G448" s="9"/>
      <c r="H448" s="88"/>
    </row>
    <row r="449" spans="1:9" x14ac:dyDescent="0.55000000000000004">
      <c r="A449" s="11" t="s">
        <v>233</v>
      </c>
      <c r="B449" s="9">
        <v>52</v>
      </c>
      <c r="C449" s="9">
        <v>63</v>
      </c>
      <c r="D449" s="28" t="s">
        <v>37</v>
      </c>
      <c r="E449" s="9">
        <v>8</v>
      </c>
      <c r="F449" s="12" t="s">
        <v>36</v>
      </c>
      <c r="G449" s="9"/>
      <c r="H449" s="88"/>
    </row>
    <row r="450" spans="1:9" ht="14.7" thickBot="1" x14ac:dyDescent="0.6">
      <c r="A450" s="13" t="s">
        <v>234</v>
      </c>
      <c r="B450" s="14">
        <v>51</v>
      </c>
      <c r="C450" s="14">
        <v>63</v>
      </c>
      <c r="D450" s="23" t="s">
        <v>37</v>
      </c>
      <c r="E450" s="14">
        <v>8</v>
      </c>
      <c r="F450" s="14" t="s">
        <v>36</v>
      </c>
      <c r="G450" s="14">
        <v>563</v>
      </c>
      <c r="H450" s="102">
        <f>Tabla26912[[#This Row],[Total cluster weight (g)]]/COUNTA(A446:A450)</f>
        <v>112.6</v>
      </c>
    </row>
    <row r="451" spans="1:9" x14ac:dyDescent="0.55000000000000004">
      <c r="A451" s="29"/>
      <c r="B451" s="30"/>
      <c r="C451" s="4"/>
      <c r="D451" s="31"/>
      <c r="E451" s="4"/>
      <c r="F451" s="4"/>
      <c r="G451" s="4"/>
    </row>
    <row r="452" spans="1:9" x14ac:dyDescent="0.55000000000000004">
      <c r="A452" s="59" t="s">
        <v>198</v>
      </c>
      <c r="B452" s="55" t="s">
        <v>162</v>
      </c>
      <c r="C452" s="55" t="s">
        <v>163</v>
      </c>
      <c r="D452" s="55" t="s">
        <v>164</v>
      </c>
      <c r="E452" s="55" t="s">
        <v>165</v>
      </c>
      <c r="F452" s="56" t="s">
        <v>189</v>
      </c>
      <c r="G452" s="110" t="s">
        <v>230</v>
      </c>
    </row>
    <row r="453" spans="1:9" x14ac:dyDescent="0.55000000000000004">
      <c r="A453" s="60" t="s">
        <v>166</v>
      </c>
      <c r="B453" s="57">
        <f>AVERAGE(Tabla26912[Height (mm)])</f>
        <v>52.707317073170735</v>
      </c>
      <c r="C453" s="57">
        <f>AVERAGE(Tabla26912[Width (mm)])</f>
        <v>65.024390243902445</v>
      </c>
      <c r="D453" s="57">
        <f>MAX(Tabla26912[[Cluster number ]])</f>
        <v>8</v>
      </c>
      <c r="E453" s="57">
        <f>AVERAGE(Tabla26912[Tomato average weight per cluster])</f>
        <v>120.72708333333333</v>
      </c>
      <c r="F453" s="58">
        <f>COUNTA(Tabla26912["L9" PLANT])</f>
        <v>41</v>
      </c>
      <c r="G453" s="109">
        <f>SUM(Tabla26912[Total cluster weight (g)])</f>
        <v>4956.5</v>
      </c>
    </row>
    <row r="455" spans="1:9" ht="14.7" thickBot="1" x14ac:dyDescent="0.6">
      <c r="A455" s="5" t="s">
        <v>110</v>
      </c>
      <c r="B455" t="s">
        <v>3</v>
      </c>
      <c r="C455" t="s">
        <v>4</v>
      </c>
      <c r="D455" t="s">
        <v>5</v>
      </c>
      <c r="E455" t="s">
        <v>6</v>
      </c>
      <c r="F455" t="s">
        <v>7</v>
      </c>
      <c r="G455" t="s">
        <v>8</v>
      </c>
      <c r="H455" s="52" t="s">
        <v>161</v>
      </c>
    </row>
    <row r="456" spans="1:9" x14ac:dyDescent="0.55000000000000004">
      <c r="A456" s="6" t="s">
        <v>9</v>
      </c>
      <c r="B456" s="9">
        <v>47</v>
      </c>
      <c r="C456" s="9">
        <v>64</v>
      </c>
      <c r="D456" s="21" t="s">
        <v>37</v>
      </c>
      <c r="E456" s="9">
        <v>1</v>
      </c>
      <c r="F456" s="9" t="s">
        <v>36</v>
      </c>
      <c r="G456" s="9"/>
      <c r="H456" s="53"/>
    </row>
    <row r="457" spans="1:9" x14ac:dyDescent="0.55000000000000004">
      <c r="A457" s="8" t="s">
        <v>10</v>
      </c>
      <c r="B457" s="9">
        <v>50</v>
      </c>
      <c r="C457" s="9">
        <v>64</v>
      </c>
      <c r="D457" s="21" t="s">
        <v>37</v>
      </c>
      <c r="E457" s="9">
        <v>1</v>
      </c>
      <c r="F457" s="9" t="s">
        <v>36</v>
      </c>
      <c r="G457" s="9"/>
      <c r="H457" s="16"/>
    </row>
    <row r="458" spans="1:9" ht="14.7" thickBot="1" x14ac:dyDescent="0.6">
      <c r="A458" s="10" t="s">
        <v>11</v>
      </c>
      <c r="B458" s="22">
        <v>50</v>
      </c>
      <c r="C458" s="22">
        <v>64</v>
      </c>
      <c r="D458" s="26" t="s">
        <v>37</v>
      </c>
      <c r="E458" s="22">
        <v>1</v>
      </c>
      <c r="F458" s="22" t="s">
        <v>36</v>
      </c>
      <c r="G458" s="22">
        <v>341.5</v>
      </c>
      <c r="H458" s="27">
        <f>Tabla26913[[#This Row],[Total cluster weight (g)]]/COUNTA(A456:A458)</f>
        <v>113.83333333333333</v>
      </c>
    </row>
    <row r="459" spans="1:9" x14ac:dyDescent="0.55000000000000004">
      <c r="A459" s="6" t="s">
        <v>12</v>
      </c>
      <c r="B459" s="7">
        <v>56</v>
      </c>
      <c r="C459" s="7">
        <v>67</v>
      </c>
      <c r="D459" s="28" t="s">
        <v>37</v>
      </c>
      <c r="E459" s="12">
        <v>2</v>
      </c>
      <c r="F459" s="12" t="s">
        <v>36</v>
      </c>
      <c r="G459" s="9"/>
      <c r="H459" s="68"/>
    </row>
    <row r="460" spans="1:9" x14ac:dyDescent="0.55000000000000004">
      <c r="A460" s="8" t="s">
        <v>13</v>
      </c>
      <c r="B460" s="9">
        <v>55</v>
      </c>
      <c r="C460" s="9">
        <v>69</v>
      </c>
      <c r="D460" s="28" t="s">
        <v>37</v>
      </c>
      <c r="E460" s="12">
        <v>2</v>
      </c>
      <c r="F460" s="12" t="s">
        <v>36</v>
      </c>
      <c r="G460" s="9"/>
      <c r="H460" s="18"/>
    </row>
    <row r="461" spans="1:9" x14ac:dyDescent="0.55000000000000004">
      <c r="A461" s="10" t="s">
        <v>41</v>
      </c>
      <c r="B461" s="9">
        <v>56</v>
      </c>
      <c r="C461" s="9">
        <v>70</v>
      </c>
      <c r="D461" s="28" t="s">
        <v>37</v>
      </c>
      <c r="E461" s="12">
        <v>2</v>
      </c>
      <c r="F461" s="12" t="s">
        <v>36</v>
      </c>
      <c r="G461" s="9"/>
      <c r="H461" s="16"/>
    </row>
    <row r="462" spans="1:9" x14ac:dyDescent="0.55000000000000004">
      <c r="A462" s="34" t="s">
        <v>42</v>
      </c>
      <c r="B462" s="12">
        <v>60</v>
      </c>
      <c r="C462" s="12">
        <v>73</v>
      </c>
      <c r="D462" s="28" t="s">
        <v>37</v>
      </c>
      <c r="E462" s="12">
        <v>2</v>
      </c>
      <c r="F462" s="12" t="s">
        <v>36</v>
      </c>
      <c r="G462" s="9"/>
      <c r="H462" s="18"/>
    </row>
    <row r="463" spans="1:9" ht="14.7" thickBot="1" x14ac:dyDescent="0.6">
      <c r="A463" s="35" t="s">
        <v>43</v>
      </c>
      <c r="B463" s="14">
        <v>53</v>
      </c>
      <c r="C463" s="14">
        <v>71</v>
      </c>
      <c r="D463" s="23" t="s">
        <v>37</v>
      </c>
      <c r="E463" s="14">
        <v>2</v>
      </c>
      <c r="F463" s="14" t="s">
        <v>36</v>
      </c>
      <c r="G463" s="14">
        <v>747</v>
      </c>
      <c r="H463" s="27">
        <f>Tabla26913[[#This Row],[Total cluster weight (g)]]/COUNTA(A459:A463)</f>
        <v>149.4</v>
      </c>
    </row>
    <row r="464" spans="1:9" x14ac:dyDescent="0.55000000000000004">
      <c r="A464" s="6" t="s">
        <v>130</v>
      </c>
      <c r="B464" s="7">
        <v>55</v>
      </c>
      <c r="C464" s="7">
        <v>65</v>
      </c>
      <c r="D464" s="28" t="s">
        <v>37</v>
      </c>
      <c r="E464" s="12">
        <v>3</v>
      </c>
      <c r="F464" s="9" t="s">
        <v>35</v>
      </c>
      <c r="G464" s="9"/>
      <c r="H464" s="66"/>
      <c r="I464" t="s">
        <v>56</v>
      </c>
    </row>
    <row r="465" spans="1:8" x14ac:dyDescent="0.55000000000000004">
      <c r="A465" s="8" t="s">
        <v>131</v>
      </c>
      <c r="B465" s="9">
        <v>54</v>
      </c>
      <c r="C465" s="9">
        <v>72</v>
      </c>
      <c r="D465" s="28" t="s">
        <v>37</v>
      </c>
      <c r="E465" s="12">
        <v>3</v>
      </c>
      <c r="F465" s="9" t="s">
        <v>35</v>
      </c>
      <c r="G465" s="9"/>
      <c r="H465" s="16"/>
    </row>
    <row r="466" spans="1:8" x14ac:dyDescent="0.55000000000000004">
      <c r="A466" s="10" t="s">
        <v>132</v>
      </c>
      <c r="B466" s="9">
        <v>55</v>
      </c>
      <c r="C466" s="9">
        <v>71</v>
      </c>
      <c r="D466" s="28" t="s">
        <v>37</v>
      </c>
      <c r="E466" s="12">
        <v>3</v>
      </c>
      <c r="F466" s="12" t="s">
        <v>36</v>
      </c>
      <c r="G466" s="9"/>
      <c r="H466" s="18"/>
    </row>
    <row r="467" spans="1:8" x14ac:dyDescent="0.55000000000000004">
      <c r="A467" s="34" t="s">
        <v>133</v>
      </c>
      <c r="B467" s="12">
        <v>54</v>
      </c>
      <c r="C467" s="12">
        <v>69</v>
      </c>
      <c r="D467" s="28" t="s">
        <v>37</v>
      </c>
      <c r="E467" s="12">
        <v>3</v>
      </c>
      <c r="F467" s="12" t="s">
        <v>36</v>
      </c>
      <c r="G467" s="9"/>
      <c r="H467" s="16"/>
    </row>
    <row r="468" spans="1:8" ht="14.7" thickBot="1" x14ac:dyDescent="0.6">
      <c r="A468" s="35" t="s">
        <v>134</v>
      </c>
      <c r="B468" s="14">
        <v>53</v>
      </c>
      <c r="C468" s="14">
        <v>70</v>
      </c>
      <c r="D468" s="23" t="s">
        <v>37</v>
      </c>
      <c r="E468" s="14">
        <v>3</v>
      </c>
      <c r="F468" s="14" t="s">
        <v>36</v>
      </c>
      <c r="G468" s="14">
        <v>718</v>
      </c>
      <c r="H468" s="27">
        <f>Tabla26913[[#This Row],[Total cluster weight (g)]]/COUNTA(A464:A468)</f>
        <v>143.6</v>
      </c>
    </row>
    <row r="469" spans="1:8" x14ac:dyDescent="0.55000000000000004">
      <c r="A469" s="6" t="s">
        <v>52</v>
      </c>
      <c r="B469" s="7">
        <v>53</v>
      </c>
      <c r="C469" s="7">
        <v>68</v>
      </c>
      <c r="D469" s="21" t="s">
        <v>37</v>
      </c>
      <c r="E469" s="9">
        <v>4</v>
      </c>
      <c r="F469" s="9" t="s">
        <v>35</v>
      </c>
      <c r="G469" s="9"/>
      <c r="H469" s="68"/>
    </row>
    <row r="470" spans="1:8" x14ac:dyDescent="0.55000000000000004">
      <c r="A470" s="8" t="s">
        <v>53</v>
      </c>
      <c r="B470" s="9">
        <v>55</v>
      </c>
      <c r="C470" s="9">
        <v>70</v>
      </c>
      <c r="D470" s="21" t="s">
        <v>37</v>
      </c>
      <c r="E470" s="9">
        <v>4</v>
      </c>
      <c r="F470" s="9" t="s">
        <v>35</v>
      </c>
      <c r="G470" s="9"/>
      <c r="H470" s="18"/>
    </row>
    <row r="471" spans="1:8" x14ac:dyDescent="0.55000000000000004">
      <c r="A471" s="10" t="s">
        <v>80</v>
      </c>
      <c r="B471" s="9">
        <v>54</v>
      </c>
      <c r="C471" s="9">
        <v>71</v>
      </c>
      <c r="D471" s="21" t="s">
        <v>37</v>
      </c>
      <c r="E471" s="9">
        <v>4</v>
      </c>
      <c r="F471" s="9" t="s">
        <v>36</v>
      </c>
      <c r="G471" s="9"/>
      <c r="H471" s="16"/>
    </row>
    <row r="472" spans="1:8" x14ac:dyDescent="0.55000000000000004">
      <c r="A472" s="11" t="s">
        <v>81</v>
      </c>
      <c r="B472" s="12">
        <v>54</v>
      </c>
      <c r="C472" s="12">
        <v>74</v>
      </c>
      <c r="D472" s="21" t="s">
        <v>37</v>
      </c>
      <c r="E472" s="9">
        <v>4</v>
      </c>
      <c r="F472" s="9" t="s">
        <v>36</v>
      </c>
      <c r="G472" s="9"/>
      <c r="H472" s="5"/>
    </row>
    <row r="473" spans="1:8" ht="14.7" thickBot="1" x14ac:dyDescent="0.6">
      <c r="A473" s="13" t="s">
        <v>66</v>
      </c>
      <c r="B473" s="14">
        <v>54</v>
      </c>
      <c r="C473" s="14">
        <v>73</v>
      </c>
      <c r="D473" s="23" t="s">
        <v>37</v>
      </c>
      <c r="E473" s="14">
        <v>4</v>
      </c>
      <c r="F473" s="14" t="s">
        <v>36</v>
      </c>
      <c r="G473" s="14">
        <v>751.5</v>
      </c>
      <c r="H473" s="27">
        <f>Tabla26913[[#This Row],[Total cluster weight (g)]]/COUNTA(A469:A473)</f>
        <v>150.30000000000001</v>
      </c>
    </row>
    <row r="474" spans="1:8" x14ac:dyDescent="0.55000000000000004">
      <c r="A474" s="6" t="s">
        <v>67</v>
      </c>
      <c r="B474" s="7">
        <v>55</v>
      </c>
      <c r="C474" s="7">
        <v>68</v>
      </c>
      <c r="D474" s="21" t="s">
        <v>37</v>
      </c>
      <c r="E474" s="9">
        <v>5</v>
      </c>
      <c r="F474" s="9" t="s">
        <v>35</v>
      </c>
      <c r="G474" s="9"/>
      <c r="H474" s="5"/>
    </row>
    <row r="475" spans="1:8" x14ac:dyDescent="0.55000000000000004">
      <c r="A475" s="8" t="s">
        <v>71</v>
      </c>
      <c r="B475" s="9">
        <v>52</v>
      </c>
      <c r="C475" s="9">
        <v>68</v>
      </c>
      <c r="D475" s="21" t="s">
        <v>37</v>
      </c>
      <c r="E475" s="9">
        <v>5</v>
      </c>
      <c r="F475" s="9" t="s">
        <v>35</v>
      </c>
      <c r="G475" s="9"/>
      <c r="H475" s="5"/>
    </row>
    <row r="476" spans="1:8" x14ac:dyDescent="0.55000000000000004">
      <c r="A476" s="10" t="s">
        <v>89</v>
      </c>
      <c r="B476" s="9">
        <v>56</v>
      </c>
      <c r="C476" s="9">
        <v>70</v>
      </c>
      <c r="D476" s="21" t="s">
        <v>37</v>
      </c>
      <c r="E476" s="9">
        <v>5</v>
      </c>
      <c r="F476" s="9" t="s">
        <v>36</v>
      </c>
      <c r="G476" s="9"/>
      <c r="H476" s="5"/>
    </row>
    <row r="477" spans="1:8" x14ac:dyDescent="0.55000000000000004">
      <c r="A477" s="11" t="s">
        <v>92</v>
      </c>
      <c r="B477" s="12">
        <v>55</v>
      </c>
      <c r="C477" s="12">
        <v>68</v>
      </c>
      <c r="D477" s="21" t="s">
        <v>37</v>
      </c>
      <c r="E477" s="9">
        <v>5</v>
      </c>
      <c r="F477" s="9" t="s">
        <v>36</v>
      </c>
      <c r="G477" s="9"/>
      <c r="H477" s="5"/>
    </row>
    <row r="478" spans="1:8" ht="14.7" thickBot="1" x14ac:dyDescent="0.6">
      <c r="A478" s="13" t="s">
        <v>93</v>
      </c>
      <c r="B478" s="14">
        <v>57</v>
      </c>
      <c r="C478" s="14">
        <v>73</v>
      </c>
      <c r="D478" s="23" t="s">
        <v>37</v>
      </c>
      <c r="E478" s="14">
        <v>5</v>
      </c>
      <c r="F478" s="14" t="s">
        <v>36</v>
      </c>
      <c r="G478" s="14">
        <v>731</v>
      </c>
      <c r="H478" s="27">
        <f>Tabla26913[[#This Row],[Total cluster weight (g)]]/COUNTA(A474:A478)</f>
        <v>146.19999999999999</v>
      </c>
    </row>
    <row r="479" spans="1:8" x14ac:dyDescent="0.55000000000000004">
      <c r="A479" s="6" t="s">
        <v>94</v>
      </c>
      <c r="B479" s="7">
        <v>52</v>
      </c>
      <c r="C479" s="7">
        <v>66</v>
      </c>
      <c r="D479" s="21" t="s">
        <v>37</v>
      </c>
      <c r="E479" s="9">
        <v>6</v>
      </c>
      <c r="F479" s="9" t="s">
        <v>36</v>
      </c>
      <c r="G479" s="9"/>
      <c r="H479" s="96"/>
    </row>
    <row r="480" spans="1:8" x14ac:dyDescent="0.55000000000000004">
      <c r="A480" s="8" t="s">
        <v>95</v>
      </c>
      <c r="B480" s="9">
        <v>53</v>
      </c>
      <c r="C480" s="9">
        <v>66</v>
      </c>
      <c r="D480" s="21" t="s">
        <v>37</v>
      </c>
      <c r="E480" s="9">
        <v>6</v>
      </c>
      <c r="F480" s="9" t="s">
        <v>36</v>
      </c>
      <c r="G480" s="9"/>
      <c r="H480" s="96"/>
    </row>
    <row r="481" spans="1:8" x14ac:dyDescent="0.55000000000000004">
      <c r="A481" s="10" t="s">
        <v>144</v>
      </c>
      <c r="B481" s="9">
        <v>53</v>
      </c>
      <c r="C481" s="9">
        <v>70</v>
      </c>
      <c r="D481" s="21" t="s">
        <v>37</v>
      </c>
      <c r="E481" s="9">
        <v>6</v>
      </c>
      <c r="F481" s="9" t="s">
        <v>36</v>
      </c>
      <c r="G481" s="9"/>
      <c r="H481" s="96"/>
    </row>
    <row r="482" spans="1:8" ht="14.7" thickBot="1" x14ac:dyDescent="0.6">
      <c r="A482" s="13" t="s">
        <v>150</v>
      </c>
      <c r="B482" s="14">
        <v>52</v>
      </c>
      <c r="C482" s="14">
        <v>71</v>
      </c>
      <c r="D482" s="23" t="s">
        <v>37</v>
      </c>
      <c r="E482" s="14">
        <v>6</v>
      </c>
      <c r="F482" s="14" t="s">
        <v>36</v>
      </c>
      <c r="G482" s="14">
        <v>545</v>
      </c>
      <c r="H482" s="27">
        <f>Tabla26913[[#This Row],[Total cluster weight (g)]]/COUNTA(A479:A482)</f>
        <v>136.25</v>
      </c>
    </row>
    <row r="483" spans="1:8" x14ac:dyDescent="0.55000000000000004">
      <c r="A483" s="34" t="s">
        <v>151</v>
      </c>
      <c r="B483" s="12">
        <v>55</v>
      </c>
      <c r="C483" s="12">
        <v>67</v>
      </c>
      <c r="D483" s="28" t="s">
        <v>37</v>
      </c>
      <c r="E483" s="12">
        <v>7</v>
      </c>
      <c r="F483" s="12" t="s">
        <v>35</v>
      </c>
      <c r="G483" s="12"/>
      <c r="H483" s="118"/>
    </row>
    <row r="484" spans="1:8" x14ac:dyDescent="0.55000000000000004">
      <c r="A484" s="10" t="s">
        <v>152</v>
      </c>
      <c r="B484" s="9">
        <v>54</v>
      </c>
      <c r="C484" s="9">
        <v>67</v>
      </c>
      <c r="D484" s="21" t="s">
        <v>37</v>
      </c>
      <c r="E484" s="9">
        <v>7</v>
      </c>
      <c r="F484" s="9" t="s">
        <v>36</v>
      </c>
      <c r="G484" s="9"/>
      <c r="H484" s="89"/>
    </row>
    <row r="485" spans="1:8" x14ac:dyDescent="0.55000000000000004">
      <c r="A485" s="10" t="s">
        <v>153</v>
      </c>
      <c r="B485" s="9">
        <v>55</v>
      </c>
      <c r="C485" s="9">
        <v>72</v>
      </c>
      <c r="D485" s="21" t="s">
        <v>37</v>
      </c>
      <c r="E485" s="9">
        <v>7</v>
      </c>
      <c r="F485" s="9" t="s">
        <v>36</v>
      </c>
      <c r="G485" s="9"/>
      <c r="H485" s="89"/>
    </row>
    <row r="486" spans="1:8" ht="14.7" thickBot="1" x14ac:dyDescent="0.6">
      <c r="A486" s="35" t="s">
        <v>158</v>
      </c>
      <c r="B486" s="14">
        <v>56</v>
      </c>
      <c r="C486" s="14">
        <v>72</v>
      </c>
      <c r="D486" s="23" t="s">
        <v>37</v>
      </c>
      <c r="E486" s="14">
        <v>7</v>
      </c>
      <c r="F486" s="14" t="s">
        <v>36</v>
      </c>
      <c r="G486" s="14">
        <v>583.5</v>
      </c>
      <c r="H486" s="116">
        <f>Tabla26913[[#This Row],[Total cluster weight (g)]]/COUNTA(A483:A486)</f>
        <v>145.875</v>
      </c>
    </row>
    <row r="487" spans="1:8" x14ac:dyDescent="0.55000000000000004">
      <c r="A487" s="34" t="s">
        <v>215</v>
      </c>
      <c r="B487" s="12">
        <v>54</v>
      </c>
      <c r="C487" s="12">
        <v>68</v>
      </c>
      <c r="D487" s="28" t="s">
        <v>37</v>
      </c>
      <c r="E487" s="12">
        <v>8</v>
      </c>
      <c r="F487" s="12" t="s">
        <v>36</v>
      </c>
      <c r="G487" s="12"/>
      <c r="H487" s="118"/>
    </row>
    <row r="488" spans="1:8" x14ac:dyDescent="0.55000000000000004">
      <c r="A488" s="10" t="s">
        <v>216</v>
      </c>
      <c r="B488" s="9">
        <v>54</v>
      </c>
      <c r="C488" s="9">
        <v>65</v>
      </c>
      <c r="D488" s="21" t="s">
        <v>37</v>
      </c>
      <c r="E488" s="9">
        <v>8</v>
      </c>
      <c r="F488" s="9" t="s">
        <v>36</v>
      </c>
      <c r="G488" s="9"/>
      <c r="H488" s="89"/>
    </row>
    <row r="489" spans="1:8" x14ac:dyDescent="0.55000000000000004">
      <c r="A489" s="10" t="s">
        <v>217</v>
      </c>
      <c r="B489" s="9">
        <v>57</v>
      </c>
      <c r="C489" s="9">
        <v>67</v>
      </c>
      <c r="D489" s="21" t="s">
        <v>37</v>
      </c>
      <c r="E489" s="9">
        <v>8</v>
      </c>
      <c r="F489" s="9" t="s">
        <v>36</v>
      </c>
      <c r="G489" s="9"/>
      <c r="H489" s="89"/>
    </row>
    <row r="490" spans="1:8" x14ac:dyDescent="0.55000000000000004">
      <c r="A490" s="10" t="s">
        <v>218</v>
      </c>
      <c r="B490" s="9">
        <v>55</v>
      </c>
      <c r="C490" s="9">
        <v>68</v>
      </c>
      <c r="D490" s="21" t="s">
        <v>37</v>
      </c>
      <c r="E490" s="9">
        <v>8</v>
      </c>
      <c r="F490" s="9" t="s">
        <v>36</v>
      </c>
      <c r="G490" s="9"/>
      <c r="H490" s="89"/>
    </row>
    <row r="491" spans="1:8" ht="14.7" thickBot="1" x14ac:dyDescent="0.6">
      <c r="A491" s="35" t="s">
        <v>219</v>
      </c>
      <c r="B491" s="14">
        <v>54</v>
      </c>
      <c r="C491" s="14">
        <v>68</v>
      </c>
      <c r="D491" s="23" t="s">
        <v>37</v>
      </c>
      <c r="E491" s="14">
        <v>8</v>
      </c>
      <c r="F491" s="14" t="s">
        <v>36</v>
      </c>
      <c r="G491" s="14">
        <v>697</v>
      </c>
      <c r="H491" s="116">
        <f>Tabla26913[[#This Row],[Total cluster weight (g)]]/COUNTA(A487:A491)</f>
        <v>139.4</v>
      </c>
    </row>
    <row r="492" spans="1:8" x14ac:dyDescent="0.55000000000000004">
      <c r="A492" s="6" t="s">
        <v>222</v>
      </c>
      <c r="B492" s="7">
        <v>52</v>
      </c>
      <c r="C492" s="7">
        <v>67</v>
      </c>
      <c r="D492" s="9" t="s">
        <v>37</v>
      </c>
      <c r="E492" s="20">
        <v>9</v>
      </c>
      <c r="F492" s="20" t="s">
        <v>36</v>
      </c>
      <c r="G492" s="20"/>
      <c r="H492" s="157"/>
    </row>
    <row r="493" spans="1:8" x14ac:dyDescent="0.55000000000000004">
      <c r="A493" s="8" t="s">
        <v>223</v>
      </c>
      <c r="B493" s="9">
        <v>54</v>
      </c>
      <c r="C493" s="9">
        <v>66</v>
      </c>
      <c r="D493" s="9" t="s">
        <v>37</v>
      </c>
      <c r="E493" s="9">
        <v>9</v>
      </c>
      <c r="F493" s="9" t="s">
        <v>36</v>
      </c>
      <c r="G493" s="9"/>
      <c r="H493" s="157"/>
    </row>
    <row r="494" spans="1:8" x14ac:dyDescent="0.55000000000000004">
      <c r="A494" s="10" t="s">
        <v>232</v>
      </c>
      <c r="B494" s="9">
        <v>56</v>
      </c>
      <c r="C494" s="9">
        <v>70</v>
      </c>
      <c r="D494" s="9" t="s">
        <v>37</v>
      </c>
      <c r="E494" s="9">
        <v>9</v>
      </c>
      <c r="F494" s="9" t="s">
        <v>36</v>
      </c>
      <c r="G494" s="9"/>
      <c r="H494" s="157"/>
    </row>
    <row r="495" spans="1:8" x14ac:dyDescent="0.55000000000000004">
      <c r="A495" s="11" t="s">
        <v>233</v>
      </c>
      <c r="B495" s="12">
        <v>57</v>
      </c>
      <c r="C495" s="12">
        <v>70</v>
      </c>
      <c r="D495" s="9" t="s">
        <v>37</v>
      </c>
      <c r="E495" s="9">
        <v>9</v>
      </c>
      <c r="F495" s="9" t="s">
        <v>36</v>
      </c>
      <c r="G495" s="9"/>
      <c r="H495" s="157"/>
    </row>
    <row r="496" spans="1:8" ht="14.7" thickBot="1" x14ac:dyDescent="0.6">
      <c r="A496" s="13" t="s">
        <v>234</v>
      </c>
      <c r="B496" s="14">
        <v>55</v>
      </c>
      <c r="C496" s="14">
        <v>72</v>
      </c>
      <c r="D496" s="14" t="s">
        <v>37</v>
      </c>
      <c r="E496" s="22">
        <v>9</v>
      </c>
      <c r="F496" s="22" t="s">
        <v>36</v>
      </c>
      <c r="G496" s="22">
        <v>712.5</v>
      </c>
      <c r="H496" s="158">
        <f>Tabla26913[[#This Row],[Total cluster weight (g)]]/COUNTA(A492:A496)</f>
        <v>142.5</v>
      </c>
    </row>
    <row r="497" spans="1:9" x14ac:dyDescent="0.55000000000000004">
      <c r="A497" s="6" t="s">
        <v>291</v>
      </c>
      <c r="B497" s="7">
        <v>55</v>
      </c>
      <c r="C497" s="7">
        <v>69</v>
      </c>
      <c r="D497" s="9" t="s">
        <v>37</v>
      </c>
      <c r="E497" s="20">
        <v>10</v>
      </c>
      <c r="F497" s="20" t="s">
        <v>36</v>
      </c>
      <c r="G497" s="20"/>
      <c r="H497" s="157"/>
      <c r="I497" t="s">
        <v>56</v>
      </c>
    </row>
    <row r="498" spans="1:9" x14ac:dyDescent="0.55000000000000004">
      <c r="A498" s="8" t="s">
        <v>292</v>
      </c>
      <c r="B498" s="9">
        <v>55</v>
      </c>
      <c r="C498" s="9">
        <v>66</v>
      </c>
      <c r="D498" s="9" t="s">
        <v>37</v>
      </c>
      <c r="E498" s="9">
        <v>10</v>
      </c>
      <c r="F498" s="9" t="s">
        <v>36</v>
      </c>
      <c r="G498" s="9"/>
      <c r="H498" s="157"/>
    </row>
    <row r="499" spans="1:9" x14ac:dyDescent="0.55000000000000004">
      <c r="A499" s="10" t="s">
        <v>286</v>
      </c>
      <c r="B499" s="9">
        <v>53</v>
      </c>
      <c r="C499" s="9">
        <v>67</v>
      </c>
      <c r="D499" s="9" t="s">
        <v>37</v>
      </c>
      <c r="E499" s="9">
        <v>10</v>
      </c>
      <c r="F499" s="9" t="s">
        <v>36</v>
      </c>
      <c r="G499" s="9"/>
      <c r="H499" s="157"/>
    </row>
    <row r="500" spans="1:9" x14ac:dyDescent="0.55000000000000004">
      <c r="A500" s="11" t="s">
        <v>249</v>
      </c>
      <c r="B500" s="12">
        <v>48</v>
      </c>
      <c r="C500" s="12">
        <v>58</v>
      </c>
      <c r="D500" s="9" t="s">
        <v>37</v>
      </c>
      <c r="E500" s="9">
        <v>10</v>
      </c>
      <c r="F500" s="9" t="s">
        <v>36</v>
      </c>
      <c r="G500" s="9"/>
      <c r="H500" s="157"/>
    </row>
    <row r="501" spans="1:9" ht="14.7" thickBot="1" x14ac:dyDescent="0.6">
      <c r="A501" s="13" t="s">
        <v>250</v>
      </c>
      <c r="B501" s="14">
        <v>53</v>
      </c>
      <c r="C501" s="14">
        <v>67</v>
      </c>
      <c r="D501" s="14" t="s">
        <v>37</v>
      </c>
      <c r="E501" s="22">
        <v>10</v>
      </c>
      <c r="F501" s="22" t="s">
        <v>36</v>
      </c>
      <c r="G501" s="22">
        <v>651</v>
      </c>
      <c r="H501" s="112">
        <f>Tabla26913[[#This Row],[Total cluster weight (g)]]/COUNTA(A497:A501)</f>
        <v>130.19999999999999</v>
      </c>
    </row>
    <row r="502" spans="1:9" x14ac:dyDescent="0.55000000000000004">
      <c r="A502" s="29"/>
      <c r="B502" s="30"/>
      <c r="C502" s="4"/>
      <c r="D502" s="31"/>
      <c r="E502" s="4"/>
      <c r="F502" s="4"/>
      <c r="G502" s="4"/>
    </row>
    <row r="503" spans="1:9" x14ac:dyDescent="0.55000000000000004">
      <c r="A503" s="59" t="s">
        <v>199</v>
      </c>
      <c r="B503" s="55" t="s">
        <v>162</v>
      </c>
      <c r="C503" s="55" t="s">
        <v>163</v>
      </c>
      <c r="D503" s="55" t="s">
        <v>164</v>
      </c>
      <c r="E503" s="55" t="s">
        <v>165</v>
      </c>
      <c r="F503" s="56" t="s">
        <v>189</v>
      </c>
      <c r="G503" s="110" t="s">
        <v>230</v>
      </c>
    </row>
    <row r="504" spans="1:9" x14ac:dyDescent="0.55000000000000004">
      <c r="A504" s="60" t="s">
        <v>166</v>
      </c>
      <c r="B504" s="57">
        <f>AVERAGE(Tabla26913[Height (mm)])</f>
        <v>54.021739130434781</v>
      </c>
      <c r="C504" s="57">
        <f>AVERAGE(Tabla26913[Width (mm)])</f>
        <v>68.5</v>
      </c>
      <c r="D504" s="57">
        <f>MAX(Tabla26913[[Cluster number ]])</f>
        <v>10</v>
      </c>
      <c r="E504" s="57">
        <f>AVERAGE(Tabla26913[Tomato average weight per cluster])</f>
        <v>139.75583333333336</v>
      </c>
      <c r="F504" s="58">
        <f>COUNTA(Tabla26913["L10" PLANT])</f>
        <v>46</v>
      </c>
      <c r="G504" s="109">
        <f>SUM(Tabla26913[Total cluster weight (g)])</f>
        <v>6478</v>
      </c>
    </row>
    <row r="506" spans="1:9" ht="14.7" thickBot="1" x14ac:dyDescent="0.6">
      <c r="A506" s="5" t="s">
        <v>111</v>
      </c>
      <c r="B506" t="s">
        <v>3</v>
      </c>
      <c r="C506" t="s">
        <v>4</v>
      </c>
      <c r="D506" t="s">
        <v>5</v>
      </c>
      <c r="E506" t="s">
        <v>6</v>
      </c>
      <c r="F506" t="s">
        <v>7</v>
      </c>
      <c r="G506" t="s">
        <v>8</v>
      </c>
      <c r="H506" s="52" t="s">
        <v>161</v>
      </c>
    </row>
    <row r="507" spans="1:9" x14ac:dyDescent="0.55000000000000004">
      <c r="A507" s="6" t="s">
        <v>9</v>
      </c>
      <c r="B507" s="9">
        <v>54</v>
      </c>
      <c r="C507" s="9">
        <v>68</v>
      </c>
      <c r="D507" s="21" t="s">
        <v>37</v>
      </c>
      <c r="E507" s="9">
        <v>1</v>
      </c>
      <c r="F507" s="9" t="s">
        <v>35</v>
      </c>
      <c r="G507" s="9"/>
      <c r="H507" s="66"/>
    </row>
    <row r="508" spans="1:9" x14ac:dyDescent="0.55000000000000004">
      <c r="A508" s="8" t="s">
        <v>10</v>
      </c>
      <c r="B508" s="9">
        <v>53</v>
      </c>
      <c r="C508" s="9">
        <v>69</v>
      </c>
      <c r="D508" s="21" t="s">
        <v>37</v>
      </c>
      <c r="E508" s="9">
        <v>1</v>
      </c>
      <c r="F508" s="9" t="s">
        <v>35</v>
      </c>
      <c r="G508" s="9"/>
      <c r="H508" s="16"/>
    </row>
    <row r="509" spans="1:9" x14ac:dyDescent="0.55000000000000004">
      <c r="A509" s="10" t="s">
        <v>11</v>
      </c>
      <c r="B509" s="9">
        <v>51</v>
      </c>
      <c r="C509" s="9">
        <v>67</v>
      </c>
      <c r="D509" s="21" t="s">
        <v>37</v>
      </c>
      <c r="E509" s="9">
        <v>1</v>
      </c>
      <c r="F509" s="9" t="s">
        <v>36</v>
      </c>
      <c r="G509" s="9"/>
      <c r="H509" s="18"/>
    </row>
    <row r="510" spans="1:9" x14ac:dyDescent="0.55000000000000004">
      <c r="A510" s="11" t="s">
        <v>12</v>
      </c>
      <c r="B510" s="9">
        <v>54</v>
      </c>
      <c r="C510" s="9">
        <v>70</v>
      </c>
      <c r="D510" s="21" t="s">
        <v>37</v>
      </c>
      <c r="E510" s="9">
        <v>1</v>
      </c>
      <c r="F510" s="9" t="s">
        <v>36</v>
      </c>
      <c r="G510" s="9"/>
      <c r="H510" s="16"/>
    </row>
    <row r="511" spans="1:9" ht="14.7" thickBot="1" x14ac:dyDescent="0.6">
      <c r="A511" s="13" t="s">
        <v>13</v>
      </c>
      <c r="B511" s="14">
        <v>53</v>
      </c>
      <c r="C511" s="14">
        <v>71</v>
      </c>
      <c r="D511" s="23" t="s">
        <v>37</v>
      </c>
      <c r="E511" s="14">
        <v>1</v>
      </c>
      <c r="F511" s="14" t="s">
        <v>36</v>
      </c>
      <c r="G511" s="14">
        <v>707</v>
      </c>
      <c r="H511" s="27">
        <f>Tabla26914[[#This Row],[Total cluster weight (g)]]/COUNTA(A507:A511)</f>
        <v>141.4</v>
      </c>
    </row>
    <row r="512" spans="1:9" x14ac:dyDescent="0.55000000000000004">
      <c r="A512" s="6" t="s">
        <v>41</v>
      </c>
      <c r="B512" s="9">
        <v>51</v>
      </c>
      <c r="C512" s="9">
        <v>68</v>
      </c>
      <c r="D512" s="21" t="s">
        <v>37</v>
      </c>
      <c r="E512" s="9">
        <v>2</v>
      </c>
      <c r="F512" s="9" t="s">
        <v>35</v>
      </c>
      <c r="G512" s="9"/>
      <c r="H512" s="68"/>
    </row>
    <row r="513" spans="1:9" x14ac:dyDescent="0.55000000000000004">
      <c r="A513" s="10" t="s">
        <v>42</v>
      </c>
      <c r="B513" s="9">
        <v>57</v>
      </c>
      <c r="C513" s="9">
        <v>68</v>
      </c>
      <c r="D513" s="21" t="s">
        <v>37</v>
      </c>
      <c r="E513" s="9">
        <v>2</v>
      </c>
      <c r="F513" s="9" t="s">
        <v>35</v>
      </c>
      <c r="G513" s="9"/>
      <c r="H513" s="18"/>
    </row>
    <row r="514" spans="1:9" x14ac:dyDescent="0.55000000000000004">
      <c r="A514" s="10" t="s">
        <v>43</v>
      </c>
      <c r="B514" s="9">
        <v>52</v>
      </c>
      <c r="C514" s="9">
        <v>69</v>
      </c>
      <c r="D514" s="21" t="s">
        <v>37</v>
      </c>
      <c r="E514" s="9">
        <v>2</v>
      </c>
      <c r="F514" s="9" t="s">
        <v>35</v>
      </c>
      <c r="G514" s="9"/>
      <c r="H514" s="16"/>
    </row>
    <row r="515" spans="1:9" x14ac:dyDescent="0.55000000000000004">
      <c r="A515" s="34" t="s">
        <v>47</v>
      </c>
      <c r="B515" s="9">
        <v>52</v>
      </c>
      <c r="C515" s="9">
        <v>68</v>
      </c>
      <c r="D515" s="21" t="s">
        <v>37</v>
      </c>
      <c r="E515" s="9">
        <v>2</v>
      </c>
      <c r="F515" s="9" t="s">
        <v>36</v>
      </c>
      <c r="G515" s="9"/>
      <c r="H515" s="18"/>
    </row>
    <row r="516" spans="1:9" ht="14.7" thickBot="1" x14ac:dyDescent="0.6">
      <c r="A516" s="35" t="s">
        <v>48</v>
      </c>
      <c r="B516" s="14">
        <v>52</v>
      </c>
      <c r="C516" s="14">
        <v>68</v>
      </c>
      <c r="D516" s="23" t="s">
        <v>37</v>
      </c>
      <c r="E516" s="14">
        <v>2</v>
      </c>
      <c r="F516" s="14" t="s">
        <v>36</v>
      </c>
      <c r="G516" s="14">
        <v>667.5</v>
      </c>
      <c r="H516" s="27">
        <f>Tabla26914[[#This Row],[Total cluster weight (g)]]/COUNTA(A512:A516)</f>
        <v>133.5</v>
      </c>
    </row>
    <row r="517" spans="1:9" x14ac:dyDescent="0.55000000000000004">
      <c r="A517" s="11" t="s">
        <v>90</v>
      </c>
      <c r="B517" s="12">
        <v>50</v>
      </c>
      <c r="C517" s="12">
        <v>65</v>
      </c>
      <c r="D517" s="28" t="s">
        <v>37</v>
      </c>
      <c r="E517" s="12">
        <v>3</v>
      </c>
      <c r="F517" s="12" t="s">
        <v>35</v>
      </c>
      <c r="G517" s="12"/>
      <c r="H517" s="66"/>
      <c r="I517" t="s">
        <v>56</v>
      </c>
    </row>
    <row r="518" spans="1:9" x14ac:dyDescent="0.55000000000000004">
      <c r="A518" s="8" t="s">
        <v>59</v>
      </c>
      <c r="B518" s="9">
        <v>56</v>
      </c>
      <c r="C518" s="9">
        <v>68</v>
      </c>
      <c r="D518" s="21" t="s">
        <v>37</v>
      </c>
      <c r="E518" s="9">
        <v>3</v>
      </c>
      <c r="F518" s="9" t="s">
        <v>35</v>
      </c>
      <c r="G518" s="9"/>
      <c r="H518" s="16"/>
    </row>
    <row r="519" spans="1:9" x14ac:dyDescent="0.55000000000000004">
      <c r="A519" s="10" t="s">
        <v>143</v>
      </c>
      <c r="B519" s="9">
        <v>55</v>
      </c>
      <c r="C519" s="9">
        <v>72</v>
      </c>
      <c r="D519" s="21" t="s">
        <v>37</v>
      </c>
      <c r="E519" s="9">
        <v>3</v>
      </c>
      <c r="F519" s="9" t="s">
        <v>36</v>
      </c>
      <c r="G519" s="9"/>
      <c r="H519" s="18"/>
    </row>
    <row r="520" spans="1:9" x14ac:dyDescent="0.55000000000000004">
      <c r="A520" s="11" t="s">
        <v>52</v>
      </c>
      <c r="B520" s="9">
        <v>52</v>
      </c>
      <c r="C520" s="9">
        <v>73</v>
      </c>
      <c r="D520" s="21" t="s">
        <v>37</v>
      </c>
      <c r="E520" s="9">
        <v>3</v>
      </c>
      <c r="F520" s="9" t="s">
        <v>36</v>
      </c>
      <c r="G520" s="9"/>
      <c r="H520" s="16"/>
    </row>
    <row r="521" spans="1:9" ht="14.7" thickBot="1" x14ac:dyDescent="0.6">
      <c r="A521" s="13" t="s">
        <v>53</v>
      </c>
      <c r="B521" s="14">
        <v>53</v>
      </c>
      <c r="C521" s="14">
        <v>70</v>
      </c>
      <c r="D521" s="23" t="s">
        <v>37</v>
      </c>
      <c r="E521" s="14">
        <v>3</v>
      </c>
      <c r="F521" s="14" t="s">
        <v>36</v>
      </c>
      <c r="G521" s="14">
        <v>718.5</v>
      </c>
      <c r="H521" s="27">
        <f>Tabla26914[[#This Row],[Total cluster weight (g)]]/COUNTA(A517:A521)</f>
        <v>143.69999999999999</v>
      </c>
    </row>
    <row r="522" spans="1:9" x14ac:dyDescent="0.55000000000000004">
      <c r="A522" s="11" t="s">
        <v>80</v>
      </c>
      <c r="B522" s="12">
        <v>47</v>
      </c>
      <c r="C522" s="12">
        <v>63</v>
      </c>
      <c r="D522" s="28" t="s">
        <v>37</v>
      </c>
      <c r="E522" s="12">
        <v>4</v>
      </c>
      <c r="F522" s="12" t="s">
        <v>68</v>
      </c>
      <c r="G522" s="12"/>
      <c r="H522" s="68"/>
    </row>
    <row r="523" spans="1:9" x14ac:dyDescent="0.55000000000000004">
      <c r="A523" s="8" t="s">
        <v>81</v>
      </c>
      <c r="B523" s="9">
        <v>52</v>
      </c>
      <c r="C523" s="9">
        <v>67</v>
      </c>
      <c r="D523" s="21" t="s">
        <v>37</v>
      </c>
      <c r="E523" s="9">
        <v>4</v>
      </c>
      <c r="F523" s="9" t="s">
        <v>35</v>
      </c>
      <c r="G523" s="9"/>
      <c r="H523" s="9"/>
    </row>
    <row r="524" spans="1:9" x14ac:dyDescent="0.55000000000000004">
      <c r="A524" s="10" t="s">
        <v>66</v>
      </c>
      <c r="B524" s="9">
        <v>52</v>
      </c>
      <c r="C524" s="9">
        <v>67</v>
      </c>
      <c r="D524" s="21" t="s">
        <v>37</v>
      </c>
      <c r="E524" s="9">
        <v>4</v>
      </c>
      <c r="F524" s="9" t="s">
        <v>36</v>
      </c>
      <c r="G524" s="9"/>
      <c r="H524" s="9"/>
    </row>
    <row r="525" spans="1:9" x14ac:dyDescent="0.55000000000000004">
      <c r="A525" s="11" t="s">
        <v>67</v>
      </c>
      <c r="B525" s="9">
        <v>56</v>
      </c>
      <c r="C525" s="9">
        <v>73</v>
      </c>
      <c r="D525" s="21" t="s">
        <v>37</v>
      </c>
      <c r="E525" s="9">
        <v>4</v>
      </c>
      <c r="F525" s="9" t="s">
        <v>36</v>
      </c>
      <c r="G525" s="9"/>
      <c r="H525" s="9"/>
    </row>
    <row r="526" spans="1:9" ht="14.7" thickBot="1" x14ac:dyDescent="0.6">
      <c r="A526" s="13" t="s">
        <v>71</v>
      </c>
      <c r="B526" s="14">
        <v>54</v>
      </c>
      <c r="C526" s="14">
        <v>73</v>
      </c>
      <c r="D526" s="23" t="s">
        <v>37</v>
      </c>
      <c r="E526" s="14">
        <v>4</v>
      </c>
      <c r="F526" s="14" t="s">
        <v>36</v>
      </c>
      <c r="G526" s="14">
        <v>680</v>
      </c>
      <c r="H526" s="27">
        <f>Tabla26914[[#This Row],[Total cluster weight (g)]]/COUNTA(A522:A526)</f>
        <v>136</v>
      </c>
    </row>
    <row r="527" spans="1:9" x14ac:dyDescent="0.55000000000000004">
      <c r="A527" s="6" t="s">
        <v>89</v>
      </c>
      <c r="B527" s="7">
        <v>51</v>
      </c>
      <c r="C527" s="7">
        <v>65</v>
      </c>
      <c r="D527" s="21" t="s">
        <v>37</v>
      </c>
      <c r="E527" s="9">
        <v>5</v>
      </c>
      <c r="F527" s="9" t="s">
        <v>35</v>
      </c>
      <c r="G527" s="9"/>
      <c r="H527" s="89"/>
    </row>
    <row r="528" spans="1:9" x14ac:dyDescent="0.55000000000000004">
      <c r="A528" s="8" t="s">
        <v>92</v>
      </c>
      <c r="B528" s="9">
        <v>50</v>
      </c>
      <c r="C528" s="9">
        <v>62</v>
      </c>
      <c r="D528" s="21" t="s">
        <v>37</v>
      </c>
      <c r="E528" s="9">
        <v>5</v>
      </c>
      <c r="F528" s="9" t="s">
        <v>36</v>
      </c>
      <c r="G528" s="9"/>
      <c r="H528" s="89"/>
    </row>
    <row r="529" spans="1:8" x14ac:dyDescent="0.55000000000000004">
      <c r="A529" s="10" t="s">
        <v>93</v>
      </c>
      <c r="B529" s="9">
        <v>52</v>
      </c>
      <c r="C529" s="9">
        <v>66</v>
      </c>
      <c r="D529" s="21" t="s">
        <v>37</v>
      </c>
      <c r="E529" s="9">
        <v>5</v>
      </c>
      <c r="F529" s="9" t="s">
        <v>36</v>
      </c>
      <c r="G529" s="9"/>
      <c r="H529" s="89"/>
    </row>
    <row r="530" spans="1:8" x14ac:dyDescent="0.55000000000000004">
      <c r="A530" s="11" t="s">
        <v>94</v>
      </c>
      <c r="B530" s="12">
        <v>54</v>
      </c>
      <c r="C530" s="12">
        <v>70</v>
      </c>
      <c r="D530" s="21" t="s">
        <v>37</v>
      </c>
      <c r="E530" s="9">
        <v>5</v>
      </c>
      <c r="F530" s="9" t="s">
        <v>36</v>
      </c>
      <c r="G530" s="9"/>
      <c r="H530" s="89"/>
    </row>
    <row r="531" spans="1:8" ht="14.7" thickBot="1" x14ac:dyDescent="0.6">
      <c r="A531" s="13" t="s">
        <v>95</v>
      </c>
      <c r="B531" s="14">
        <v>53</v>
      </c>
      <c r="C531" s="14">
        <v>69</v>
      </c>
      <c r="D531" s="23" t="s">
        <v>37</v>
      </c>
      <c r="E531" s="14">
        <v>5</v>
      </c>
      <c r="F531" s="14" t="s">
        <v>36</v>
      </c>
      <c r="G531" s="14">
        <v>642.5</v>
      </c>
      <c r="H531" s="27">
        <f>Tabla26914[[#This Row],[Total cluster weight (g)]]/COUNTA(A527:A531)</f>
        <v>128.5</v>
      </c>
    </row>
    <row r="532" spans="1:8" x14ac:dyDescent="0.55000000000000004">
      <c r="A532" s="29" t="s">
        <v>144</v>
      </c>
      <c r="B532" s="9">
        <v>47</v>
      </c>
      <c r="C532" s="9">
        <v>63</v>
      </c>
      <c r="D532" s="21" t="s">
        <v>37</v>
      </c>
      <c r="E532" s="9">
        <v>6</v>
      </c>
      <c r="F532" s="9" t="s">
        <v>35</v>
      </c>
      <c r="G532" s="9"/>
      <c r="H532" s="89"/>
    </row>
    <row r="533" spans="1:8" x14ac:dyDescent="0.55000000000000004">
      <c r="A533" s="29" t="s">
        <v>150</v>
      </c>
      <c r="B533" s="9">
        <v>50</v>
      </c>
      <c r="C533" s="9">
        <v>66</v>
      </c>
      <c r="D533" s="21" t="s">
        <v>37</v>
      </c>
      <c r="E533" s="9">
        <v>6</v>
      </c>
      <c r="F533" s="9" t="s">
        <v>36</v>
      </c>
      <c r="G533" s="9"/>
      <c r="H533" s="89"/>
    </row>
    <row r="534" spans="1:8" x14ac:dyDescent="0.55000000000000004">
      <c r="A534" s="29" t="s">
        <v>151</v>
      </c>
      <c r="B534" s="9">
        <v>54</v>
      </c>
      <c r="C534" s="9">
        <v>72</v>
      </c>
      <c r="D534" s="21" t="s">
        <v>37</v>
      </c>
      <c r="E534" s="9">
        <v>6</v>
      </c>
      <c r="F534" s="9" t="s">
        <v>36</v>
      </c>
      <c r="G534" s="9"/>
      <c r="H534" s="89"/>
    </row>
    <row r="535" spans="1:8" x14ac:dyDescent="0.55000000000000004">
      <c r="A535" s="29" t="s">
        <v>152</v>
      </c>
      <c r="B535" s="9">
        <v>49</v>
      </c>
      <c r="C535" s="9">
        <v>67</v>
      </c>
      <c r="D535" s="21" t="s">
        <v>37</v>
      </c>
      <c r="E535" s="9">
        <v>6</v>
      </c>
      <c r="F535" s="9" t="s">
        <v>36</v>
      </c>
      <c r="G535" s="9"/>
      <c r="H535" s="89"/>
    </row>
    <row r="536" spans="1:8" ht="14.7" thickBot="1" x14ac:dyDescent="0.6">
      <c r="A536" s="91" t="s">
        <v>153</v>
      </c>
      <c r="B536" s="14">
        <v>55</v>
      </c>
      <c r="C536" s="14">
        <v>68</v>
      </c>
      <c r="D536" s="23" t="s">
        <v>37</v>
      </c>
      <c r="E536" s="14">
        <v>6</v>
      </c>
      <c r="F536" s="14" t="s">
        <v>36</v>
      </c>
      <c r="G536" s="14">
        <v>650.5</v>
      </c>
      <c r="H536" s="116">
        <f>Tabla26914[[#This Row],[Total cluster weight (g)]]/COUNTA(A532:A536)</f>
        <v>130.1</v>
      </c>
    </row>
    <row r="537" spans="1:8" x14ac:dyDescent="0.55000000000000004">
      <c r="A537" s="29" t="s">
        <v>158</v>
      </c>
      <c r="B537" s="9">
        <v>47</v>
      </c>
      <c r="C537" s="9">
        <v>63</v>
      </c>
      <c r="D537" s="21" t="s">
        <v>37</v>
      </c>
      <c r="E537" s="9">
        <v>7</v>
      </c>
      <c r="F537" s="9" t="s">
        <v>68</v>
      </c>
      <c r="G537" s="9"/>
      <c r="H537" s="89"/>
    </row>
    <row r="538" spans="1:8" x14ac:dyDescent="0.55000000000000004">
      <c r="A538" s="29" t="s">
        <v>215</v>
      </c>
      <c r="B538" s="9">
        <v>48</v>
      </c>
      <c r="C538" s="9">
        <v>64</v>
      </c>
      <c r="D538" s="21" t="s">
        <v>37</v>
      </c>
      <c r="E538" s="9">
        <v>7</v>
      </c>
      <c r="F538" s="9" t="s">
        <v>36</v>
      </c>
      <c r="G538" s="9"/>
      <c r="H538" s="89"/>
    </row>
    <row r="539" spans="1:8" x14ac:dyDescent="0.55000000000000004">
      <c r="A539" s="29" t="s">
        <v>216</v>
      </c>
      <c r="B539" s="9">
        <v>51</v>
      </c>
      <c r="C539" s="9">
        <v>67</v>
      </c>
      <c r="D539" s="21" t="s">
        <v>37</v>
      </c>
      <c r="E539" s="9">
        <v>7</v>
      </c>
      <c r="F539" s="9" t="s">
        <v>36</v>
      </c>
      <c r="G539" s="9"/>
      <c r="H539" s="89"/>
    </row>
    <row r="540" spans="1:8" x14ac:dyDescent="0.55000000000000004">
      <c r="A540" s="29" t="s">
        <v>217</v>
      </c>
      <c r="B540" s="9">
        <v>48</v>
      </c>
      <c r="C540" s="9">
        <v>62</v>
      </c>
      <c r="D540" s="21" t="s">
        <v>37</v>
      </c>
      <c r="E540" s="9">
        <v>7</v>
      </c>
      <c r="F540" s="9" t="s">
        <v>36</v>
      </c>
      <c r="G540" s="9"/>
      <c r="H540" s="89"/>
    </row>
    <row r="541" spans="1:8" x14ac:dyDescent="0.55000000000000004">
      <c r="A541" s="29" t="s">
        <v>218</v>
      </c>
      <c r="B541" s="9">
        <v>50</v>
      </c>
      <c r="C541" s="9">
        <v>64</v>
      </c>
      <c r="D541" s="21" t="s">
        <v>37</v>
      </c>
      <c r="E541" s="9">
        <v>7</v>
      </c>
      <c r="F541" s="9" t="s">
        <v>36</v>
      </c>
      <c r="G541" s="9"/>
      <c r="H541" s="89"/>
    </row>
    <row r="542" spans="1:8" ht="14.7" thickBot="1" x14ac:dyDescent="0.6">
      <c r="A542" s="91" t="s">
        <v>219</v>
      </c>
      <c r="B542" s="14">
        <v>50</v>
      </c>
      <c r="C542" s="14">
        <v>63</v>
      </c>
      <c r="D542" s="23" t="s">
        <v>37</v>
      </c>
      <c r="E542" s="14">
        <v>7</v>
      </c>
      <c r="F542" s="14" t="s">
        <v>36</v>
      </c>
      <c r="G542" s="14">
        <v>659</v>
      </c>
      <c r="H542" s="116">
        <f>Tabla26914[[#This Row],[Total cluster weight (g)]]/COUNTA(A537:A542)</f>
        <v>109.83333333333333</v>
      </c>
    </row>
    <row r="543" spans="1:8" x14ac:dyDescent="0.55000000000000004">
      <c r="A543" s="29" t="s">
        <v>222</v>
      </c>
      <c r="B543" s="9">
        <v>52</v>
      </c>
      <c r="C543" s="9">
        <v>66</v>
      </c>
      <c r="D543" s="21" t="s">
        <v>37</v>
      </c>
      <c r="E543" s="9">
        <v>8</v>
      </c>
      <c r="F543" s="9" t="s">
        <v>36</v>
      </c>
      <c r="G543" s="9"/>
      <c r="H543" s="89"/>
    </row>
    <row r="544" spans="1:8" x14ac:dyDescent="0.55000000000000004">
      <c r="A544" s="29" t="s">
        <v>223</v>
      </c>
      <c r="B544" s="9">
        <v>49</v>
      </c>
      <c r="C544" s="9">
        <v>64</v>
      </c>
      <c r="D544" s="21" t="s">
        <v>37</v>
      </c>
      <c r="E544" s="9">
        <v>8</v>
      </c>
      <c r="F544" s="9" t="s">
        <v>36</v>
      </c>
      <c r="G544" s="9"/>
      <c r="H544" s="89"/>
    </row>
    <row r="545" spans="1:9" x14ac:dyDescent="0.55000000000000004">
      <c r="A545" s="29" t="s">
        <v>232</v>
      </c>
      <c r="B545" s="9">
        <v>53</v>
      </c>
      <c r="C545" s="9">
        <v>70</v>
      </c>
      <c r="D545" s="21" t="s">
        <v>37</v>
      </c>
      <c r="E545" s="9">
        <v>8</v>
      </c>
      <c r="F545" s="9" t="s">
        <v>36</v>
      </c>
      <c r="G545" s="9"/>
      <c r="H545" s="89"/>
    </row>
    <row r="546" spans="1:9" x14ac:dyDescent="0.55000000000000004">
      <c r="A546" s="29" t="s">
        <v>233</v>
      </c>
      <c r="B546" s="9">
        <v>54</v>
      </c>
      <c r="C546" s="9">
        <v>68</v>
      </c>
      <c r="D546" s="21" t="s">
        <v>37</v>
      </c>
      <c r="E546" s="9">
        <v>8</v>
      </c>
      <c r="F546" s="9" t="s">
        <v>36</v>
      </c>
      <c r="G546" s="9"/>
      <c r="H546" s="89"/>
    </row>
    <row r="547" spans="1:9" ht="14.7" thickBot="1" x14ac:dyDescent="0.6">
      <c r="A547" s="91" t="s">
        <v>234</v>
      </c>
      <c r="B547" s="14">
        <v>52</v>
      </c>
      <c r="C547" s="14">
        <v>70</v>
      </c>
      <c r="D547" s="23" t="s">
        <v>37</v>
      </c>
      <c r="E547" s="14">
        <v>8</v>
      </c>
      <c r="F547" s="14" t="s">
        <v>36</v>
      </c>
      <c r="G547" s="14">
        <v>658</v>
      </c>
      <c r="H547" s="116">
        <f>Tabla26914[[#This Row],[Total cluster weight (g)]]/COUNTA(A543:A547)</f>
        <v>131.6</v>
      </c>
    </row>
    <row r="548" spans="1:9" x14ac:dyDescent="0.55000000000000004">
      <c r="A548" s="6" t="s">
        <v>291</v>
      </c>
      <c r="B548" s="9">
        <v>50</v>
      </c>
      <c r="C548" s="9">
        <v>62</v>
      </c>
      <c r="D548" s="21" t="s">
        <v>37</v>
      </c>
      <c r="E548" s="9">
        <v>9</v>
      </c>
      <c r="F548" s="9" t="s">
        <v>61</v>
      </c>
      <c r="G548" s="9"/>
      <c r="H548" s="89"/>
      <c r="I548" t="s">
        <v>56</v>
      </c>
    </row>
    <row r="549" spans="1:9" x14ac:dyDescent="0.55000000000000004">
      <c r="A549" s="8" t="s">
        <v>292</v>
      </c>
      <c r="B549" s="9">
        <v>49</v>
      </c>
      <c r="C549" s="9">
        <v>62</v>
      </c>
      <c r="D549" s="21" t="s">
        <v>37</v>
      </c>
      <c r="E549" s="9">
        <v>9</v>
      </c>
      <c r="F549" s="9" t="s">
        <v>35</v>
      </c>
      <c r="G549" s="9"/>
      <c r="H549" s="89"/>
    </row>
    <row r="550" spans="1:9" x14ac:dyDescent="0.55000000000000004">
      <c r="A550" s="10" t="s">
        <v>286</v>
      </c>
      <c r="B550" s="9">
        <v>55</v>
      </c>
      <c r="C550" s="9">
        <v>66</v>
      </c>
      <c r="D550" s="21" t="s">
        <v>37</v>
      </c>
      <c r="E550" s="9">
        <v>9</v>
      </c>
      <c r="F550" s="9" t="s">
        <v>35</v>
      </c>
      <c r="G550" s="9"/>
      <c r="H550" s="89"/>
    </row>
    <row r="551" spans="1:9" x14ac:dyDescent="0.55000000000000004">
      <c r="A551" s="11" t="s">
        <v>249</v>
      </c>
      <c r="B551" s="9">
        <v>56</v>
      </c>
      <c r="C551" s="9">
        <v>73</v>
      </c>
      <c r="D551" s="21" t="s">
        <v>37</v>
      </c>
      <c r="E551" s="9">
        <v>9</v>
      </c>
      <c r="F551" s="9" t="s">
        <v>36</v>
      </c>
      <c r="G551" s="9"/>
      <c r="H551" s="89"/>
    </row>
    <row r="552" spans="1:9" x14ac:dyDescent="0.55000000000000004">
      <c r="A552" s="10" t="s">
        <v>250</v>
      </c>
      <c r="B552" s="9">
        <v>58</v>
      </c>
      <c r="C552" s="9">
        <v>75</v>
      </c>
      <c r="D552" s="21" t="s">
        <v>37</v>
      </c>
      <c r="E552" s="9">
        <v>9</v>
      </c>
      <c r="F552" s="9" t="s">
        <v>36</v>
      </c>
      <c r="G552" s="9"/>
      <c r="H552" s="89"/>
    </row>
    <row r="553" spans="1:9" ht="14.7" thickBot="1" x14ac:dyDescent="0.6">
      <c r="A553" s="13" t="s">
        <v>255</v>
      </c>
      <c r="B553" s="14">
        <v>58</v>
      </c>
      <c r="C553" s="14">
        <v>75</v>
      </c>
      <c r="D553" s="23" t="s">
        <v>37</v>
      </c>
      <c r="E553" s="14">
        <v>9</v>
      </c>
      <c r="F553" s="14" t="s">
        <v>36</v>
      </c>
      <c r="G553" s="14">
        <v>818.5</v>
      </c>
      <c r="H553" s="116">
        <f>Tabla26914[[#This Row],[Total cluster weight (g)]]/COUNTA(A548:A553)</f>
        <v>136.41666666666666</v>
      </c>
    </row>
    <row r="554" spans="1:9" x14ac:dyDescent="0.55000000000000004">
      <c r="A554" s="29"/>
      <c r="B554" s="30"/>
      <c r="C554" s="4"/>
      <c r="D554" s="31"/>
      <c r="E554" s="4"/>
      <c r="F554" s="4"/>
      <c r="G554" s="4"/>
    </row>
    <row r="555" spans="1:9" x14ac:dyDescent="0.55000000000000004">
      <c r="A555" s="59" t="s">
        <v>200</v>
      </c>
      <c r="B555" s="55" t="s">
        <v>162</v>
      </c>
      <c r="C555" s="55" t="s">
        <v>163</v>
      </c>
      <c r="D555" s="55" t="s">
        <v>164</v>
      </c>
      <c r="E555" s="55" t="s">
        <v>165</v>
      </c>
      <c r="F555" s="56" t="s">
        <v>189</v>
      </c>
      <c r="G555" s="110" t="s">
        <v>230</v>
      </c>
    </row>
    <row r="556" spans="1:9" x14ac:dyDescent="0.55000000000000004">
      <c r="A556" s="60" t="s">
        <v>166</v>
      </c>
      <c r="B556" s="57">
        <f>AVERAGE(Tabla26914[Height (mm)])</f>
        <v>52.148936170212764</v>
      </c>
      <c r="C556" s="57">
        <f>AVERAGE(Tabla26914[Width (mm)])</f>
        <v>67.638297872340431</v>
      </c>
      <c r="D556" s="57">
        <f>MAX(Tabla26914[[Cluster number ]])</f>
        <v>9</v>
      </c>
      <c r="E556" s="57">
        <f>AVERAGE(Tabla26914[Tomato average weight per cluster])</f>
        <v>132.33888888888887</v>
      </c>
      <c r="F556" s="58">
        <f>COUNTA(Tabla26914["L11" PLANT])</f>
        <v>47</v>
      </c>
      <c r="G556" s="109">
        <f>SUM(Tabla26914[Total cluster weight (g)])</f>
        <v>6201.5</v>
      </c>
    </row>
    <row r="558" spans="1:9" ht="14.7" thickBot="1" x14ac:dyDescent="0.6">
      <c r="A558" s="5" t="s">
        <v>112</v>
      </c>
      <c r="B558" t="s">
        <v>3</v>
      </c>
      <c r="C558" t="s">
        <v>4</v>
      </c>
      <c r="D558" t="s">
        <v>5</v>
      </c>
      <c r="E558" t="s">
        <v>6</v>
      </c>
      <c r="F558" t="s">
        <v>7</v>
      </c>
      <c r="G558" t="s">
        <v>8</v>
      </c>
      <c r="H558" s="52" t="s">
        <v>161</v>
      </c>
    </row>
    <row r="559" spans="1:9" x14ac:dyDescent="0.55000000000000004">
      <c r="A559" s="6" t="s">
        <v>9</v>
      </c>
      <c r="B559" s="7">
        <v>55</v>
      </c>
      <c r="C559" s="7">
        <v>63</v>
      </c>
      <c r="D559" s="21" t="s">
        <v>37</v>
      </c>
      <c r="E559" s="9">
        <v>1</v>
      </c>
      <c r="F559" s="9" t="s">
        <v>36</v>
      </c>
      <c r="G559" s="9"/>
      <c r="H559" s="66"/>
    </row>
    <row r="560" spans="1:9" x14ac:dyDescent="0.55000000000000004">
      <c r="A560" s="8" t="s">
        <v>10</v>
      </c>
      <c r="B560" s="9">
        <v>54</v>
      </c>
      <c r="C560" s="9">
        <v>67</v>
      </c>
      <c r="D560" s="21" t="s">
        <v>37</v>
      </c>
      <c r="E560" s="9">
        <v>1</v>
      </c>
      <c r="F560" s="9" t="s">
        <v>36</v>
      </c>
      <c r="G560" s="9"/>
      <c r="H560" s="16"/>
    </row>
    <row r="561" spans="1:9" x14ac:dyDescent="0.55000000000000004">
      <c r="A561" s="10" t="s">
        <v>11</v>
      </c>
      <c r="B561" s="9">
        <v>53</v>
      </c>
      <c r="C561" s="9">
        <v>68</v>
      </c>
      <c r="D561" s="21" t="s">
        <v>37</v>
      </c>
      <c r="E561" s="9">
        <v>1</v>
      </c>
      <c r="F561" s="9" t="s">
        <v>36</v>
      </c>
      <c r="G561" s="9"/>
      <c r="H561" s="18"/>
    </row>
    <row r="562" spans="1:9" x14ac:dyDescent="0.55000000000000004">
      <c r="A562" s="11" t="s">
        <v>12</v>
      </c>
      <c r="B562" s="9">
        <v>51</v>
      </c>
      <c r="C562" s="9">
        <v>68</v>
      </c>
      <c r="D562" s="21" t="s">
        <v>37</v>
      </c>
      <c r="E562" s="9">
        <v>1</v>
      </c>
      <c r="F562" s="9" t="s">
        <v>36</v>
      </c>
      <c r="G562" s="9"/>
      <c r="H562" s="16"/>
    </row>
    <row r="563" spans="1:9" ht="14.7" thickBot="1" x14ac:dyDescent="0.6">
      <c r="A563" s="13" t="s">
        <v>13</v>
      </c>
      <c r="B563" s="14">
        <v>49</v>
      </c>
      <c r="C563" s="14">
        <v>61</v>
      </c>
      <c r="D563" s="23" t="s">
        <v>37</v>
      </c>
      <c r="E563" s="14">
        <v>1</v>
      </c>
      <c r="F563" s="14" t="s">
        <v>36</v>
      </c>
      <c r="G563" s="14">
        <v>617.5</v>
      </c>
      <c r="H563" s="19">
        <f>Tabla26915[[#This Row],[Total cluster weight (g)]]/COUNTA(A559:A563)</f>
        <v>123.5</v>
      </c>
    </row>
    <row r="564" spans="1:9" x14ac:dyDescent="0.55000000000000004">
      <c r="A564" s="10" t="s">
        <v>41</v>
      </c>
      <c r="B564" s="9">
        <v>56</v>
      </c>
      <c r="C564" s="9">
        <v>70</v>
      </c>
      <c r="D564" s="21" t="s">
        <v>37</v>
      </c>
      <c r="E564" s="9">
        <v>2</v>
      </c>
      <c r="F564" s="9" t="s">
        <v>36</v>
      </c>
      <c r="G564" s="9"/>
      <c r="H564" s="68"/>
    </row>
    <row r="565" spans="1:9" x14ac:dyDescent="0.55000000000000004">
      <c r="A565" s="10" t="s">
        <v>42</v>
      </c>
      <c r="B565" s="9">
        <v>56</v>
      </c>
      <c r="C565" s="9">
        <v>70</v>
      </c>
      <c r="D565" s="21" t="s">
        <v>37</v>
      </c>
      <c r="E565" s="9">
        <v>2</v>
      </c>
      <c r="F565" s="9" t="s">
        <v>36</v>
      </c>
      <c r="G565" s="9"/>
      <c r="H565" s="18"/>
    </row>
    <row r="566" spans="1:9" x14ac:dyDescent="0.55000000000000004">
      <c r="A566" s="10" t="s">
        <v>43</v>
      </c>
      <c r="B566" s="9">
        <v>56</v>
      </c>
      <c r="C566" s="9">
        <v>72</v>
      </c>
      <c r="D566" s="21" t="s">
        <v>37</v>
      </c>
      <c r="E566" s="9">
        <v>2</v>
      </c>
      <c r="F566" s="9" t="s">
        <v>36</v>
      </c>
      <c r="G566" s="9"/>
      <c r="H566" s="16"/>
    </row>
    <row r="567" spans="1:9" x14ac:dyDescent="0.55000000000000004">
      <c r="A567" s="34" t="s">
        <v>47</v>
      </c>
      <c r="B567" s="9">
        <v>53</v>
      </c>
      <c r="C567" s="9">
        <v>69</v>
      </c>
      <c r="D567" s="21" t="s">
        <v>37</v>
      </c>
      <c r="E567" s="9">
        <v>2</v>
      </c>
      <c r="F567" s="9" t="s">
        <v>36</v>
      </c>
      <c r="G567" s="9"/>
      <c r="H567" s="18"/>
    </row>
    <row r="568" spans="1:9" x14ac:dyDescent="0.55000000000000004">
      <c r="A568" s="34" t="s">
        <v>45</v>
      </c>
      <c r="B568" s="9">
        <v>55</v>
      </c>
      <c r="C568" s="9">
        <v>70</v>
      </c>
      <c r="D568" s="21">
        <v>152.5</v>
      </c>
      <c r="E568" s="9">
        <v>2</v>
      </c>
      <c r="F568" s="9" t="s">
        <v>36</v>
      </c>
      <c r="G568" s="9"/>
      <c r="H568" s="16"/>
      <c r="I568" t="s">
        <v>38</v>
      </c>
    </row>
    <row r="569" spans="1:9" ht="14.7" thickBot="1" x14ac:dyDescent="0.6">
      <c r="A569" s="35" t="s">
        <v>125</v>
      </c>
      <c r="B569" s="14">
        <v>47</v>
      </c>
      <c r="C569" s="14">
        <v>62</v>
      </c>
      <c r="D569" s="23">
        <v>100</v>
      </c>
      <c r="E569" s="14">
        <v>2</v>
      </c>
      <c r="F569" s="14" t="s">
        <v>36</v>
      </c>
      <c r="G569" s="14">
        <v>859.5</v>
      </c>
      <c r="H569" s="19">
        <f>Tabla26915[[#This Row],[Total cluster weight (g)]]/COUNTA(A564:A569)</f>
        <v>143.25</v>
      </c>
      <c r="I569" t="s">
        <v>38</v>
      </c>
    </row>
    <row r="570" spans="1:9" x14ac:dyDescent="0.55000000000000004">
      <c r="A570" s="6" t="s">
        <v>50</v>
      </c>
      <c r="B570" s="9">
        <v>60</v>
      </c>
      <c r="C570" s="9">
        <v>70</v>
      </c>
      <c r="D570" s="21" t="s">
        <v>37</v>
      </c>
      <c r="E570" s="9">
        <v>3</v>
      </c>
      <c r="F570" s="9" t="s">
        <v>36</v>
      </c>
      <c r="G570" s="9"/>
      <c r="H570" s="68"/>
    </row>
    <row r="571" spans="1:9" x14ac:dyDescent="0.55000000000000004">
      <c r="A571" s="10" t="s">
        <v>51</v>
      </c>
      <c r="B571" s="9">
        <v>60</v>
      </c>
      <c r="C571" s="9">
        <v>69</v>
      </c>
      <c r="D571" s="21" t="s">
        <v>37</v>
      </c>
      <c r="E571" s="9">
        <v>3</v>
      </c>
      <c r="F571" s="9" t="s">
        <v>36</v>
      </c>
      <c r="G571" s="9"/>
      <c r="H571" s="18"/>
    </row>
    <row r="572" spans="1:9" x14ac:dyDescent="0.55000000000000004">
      <c r="A572" s="10" t="s">
        <v>52</v>
      </c>
      <c r="B572" s="9">
        <v>62</v>
      </c>
      <c r="C572" s="9">
        <v>74</v>
      </c>
      <c r="D572" s="21" t="s">
        <v>37</v>
      </c>
      <c r="E572" s="9">
        <v>3</v>
      </c>
      <c r="F572" s="9" t="s">
        <v>36</v>
      </c>
      <c r="G572" s="9"/>
      <c r="H572" s="16"/>
    </row>
    <row r="573" spans="1:9" x14ac:dyDescent="0.55000000000000004">
      <c r="A573" s="10" t="s">
        <v>53</v>
      </c>
      <c r="B573" s="9">
        <v>62</v>
      </c>
      <c r="C573" s="9">
        <v>74</v>
      </c>
      <c r="D573" s="21" t="s">
        <v>37</v>
      </c>
      <c r="E573" s="9">
        <v>3</v>
      </c>
      <c r="F573" s="9" t="s">
        <v>36</v>
      </c>
      <c r="G573" s="9"/>
      <c r="H573" s="18"/>
    </row>
    <row r="574" spans="1:9" ht="14.7" thickBot="1" x14ac:dyDescent="0.6">
      <c r="A574" s="35" t="s">
        <v>80</v>
      </c>
      <c r="B574" s="14">
        <v>62</v>
      </c>
      <c r="C574" s="14">
        <v>77</v>
      </c>
      <c r="D574" s="23" t="s">
        <v>37</v>
      </c>
      <c r="E574" s="14">
        <v>3</v>
      </c>
      <c r="F574" s="14" t="s">
        <v>36</v>
      </c>
      <c r="G574" s="14">
        <v>871</v>
      </c>
      <c r="H574" s="14">
        <f>Tabla26915[[#This Row],[Total cluster weight (g)]]/COUNTA(A570:A574)</f>
        <v>174.2</v>
      </c>
    </row>
    <row r="575" spans="1:9" x14ac:dyDescent="0.55000000000000004">
      <c r="A575" s="11" t="s">
        <v>135</v>
      </c>
      <c r="B575" s="12">
        <v>58</v>
      </c>
      <c r="C575" s="12">
        <v>72</v>
      </c>
      <c r="D575" s="28" t="s">
        <v>37</v>
      </c>
      <c r="E575" s="12">
        <v>4</v>
      </c>
      <c r="F575" s="12" t="s">
        <v>35</v>
      </c>
      <c r="G575" s="12"/>
      <c r="H575" s="12"/>
      <c r="I575" t="s">
        <v>56</v>
      </c>
    </row>
    <row r="576" spans="1:9" x14ac:dyDescent="0.55000000000000004">
      <c r="A576" s="10" t="s">
        <v>99</v>
      </c>
      <c r="B576" s="9">
        <v>56</v>
      </c>
      <c r="C576" s="9">
        <v>73</v>
      </c>
      <c r="D576" s="21" t="s">
        <v>37</v>
      </c>
      <c r="E576" s="9">
        <v>4</v>
      </c>
      <c r="F576" s="9" t="s">
        <v>35</v>
      </c>
      <c r="G576" s="9"/>
      <c r="H576" s="9"/>
    </row>
    <row r="577" spans="1:8" x14ac:dyDescent="0.55000000000000004">
      <c r="A577" s="10" t="s">
        <v>136</v>
      </c>
      <c r="B577" s="9">
        <v>57</v>
      </c>
      <c r="C577" s="9">
        <v>72</v>
      </c>
      <c r="D577" s="21" t="s">
        <v>37</v>
      </c>
      <c r="E577" s="9">
        <v>4</v>
      </c>
      <c r="F577" s="9" t="s">
        <v>35</v>
      </c>
      <c r="G577" s="9"/>
      <c r="H577" s="9"/>
    </row>
    <row r="578" spans="1:8" x14ac:dyDescent="0.55000000000000004">
      <c r="A578" s="10" t="s">
        <v>137</v>
      </c>
      <c r="B578" s="9">
        <v>58</v>
      </c>
      <c r="C578" s="9">
        <v>69</v>
      </c>
      <c r="D578" s="21" t="s">
        <v>37</v>
      </c>
      <c r="E578" s="9">
        <v>4</v>
      </c>
      <c r="F578" s="9" t="s">
        <v>36</v>
      </c>
      <c r="G578" s="9"/>
      <c r="H578" s="9"/>
    </row>
    <row r="579" spans="1:8" ht="14.7" thickBot="1" x14ac:dyDescent="0.6">
      <c r="A579" s="35" t="s">
        <v>89</v>
      </c>
      <c r="B579" s="14">
        <v>58</v>
      </c>
      <c r="C579" s="14">
        <v>73</v>
      </c>
      <c r="D579" s="23" t="s">
        <v>37</v>
      </c>
      <c r="E579" s="14">
        <v>4</v>
      </c>
      <c r="F579" s="14" t="s">
        <v>36</v>
      </c>
      <c r="G579" s="14">
        <v>806</v>
      </c>
      <c r="H579" s="14">
        <f>Tabla26915[[#This Row],[Total cluster weight (g)]]/COUNTA(A575:A579)</f>
        <v>161.19999999999999</v>
      </c>
    </row>
    <row r="580" spans="1:8" x14ac:dyDescent="0.55000000000000004">
      <c r="A580" s="11" t="s">
        <v>92</v>
      </c>
      <c r="B580" s="12">
        <v>58</v>
      </c>
      <c r="C580" s="12">
        <v>70</v>
      </c>
      <c r="D580" s="28" t="s">
        <v>37</v>
      </c>
      <c r="E580" s="12">
        <v>5</v>
      </c>
      <c r="F580" s="12" t="s">
        <v>68</v>
      </c>
      <c r="G580" s="12"/>
      <c r="H580" s="12"/>
    </row>
    <row r="581" spans="1:8" x14ac:dyDescent="0.55000000000000004">
      <c r="A581" s="8" t="s">
        <v>93</v>
      </c>
      <c r="B581" s="9">
        <v>59</v>
      </c>
      <c r="C581" s="9">
        <v>69</v>
      </c>
      <c r="D581" s="21" t="s">
        <v>37</v>
      </c>
      <c r="E581" s="9">
        <v>5</v>
      </c>
      <c r="F581" s="9" t="s">
        <v>68</v>
      </c>
      <c r="G581" s="9"/>
      <c r="H581" s="9"/>
    </row>
    <row r="582" spans="1:8" x14ac:dyDescent="0.55000000000000004">
      <c r="A582" s="10" t="s">
        <v>94</v>
      </c>
      <c r="B582" s="9">
        <v>57</v>
      </c>
      <c r="C582" s="9">
        <v>72</v>
      </c>
      <c r="D582" s="21" t="s">
        <v>37</v>
      </c>
      <c r="E582" s="9">
        <v>5</v>
      </c>
      <c r="F582" s="9" t="s">
        <v>35</v>
      </c>
      <c r="G582" s="9"/>
      <c r="H582" s="9"/>
    </row>
    <row r="583" spans="1:8" x14ac:dyDescent="0.55000000000000004">
      <c r="A583" s="11" t="s">
        <v>95</v>
      </c>
      <c r="B583" s="9">
        <v>59</v>
      </c>
      <c r="C583" s="9">
        <v>77</v>
      </c>
      <c r="D583" s="21" t="s">
        <v>37</v>
      </c>
      <c r="E583" s="9">
        <v>5</v>
      </c>
      <c r="F583" s="9" t="s">
        <v>36</v>
      </c>
      <c r="G583" s="9"/>
      <c r="H583" s="9"/>
    </row>
    <row r="584" spans="1:8" ht="14.7" thickBot="1" x14ac:dyDescent="0.6">
      <c r="A584" s="13" t="s">
        <v>144</v>
      </c>
      <c r="B584" s="14">
        <v>59</v>
      </c>
      <c r="C584" s="14">
        <v>76</v>
      </c>
      <c r="D584" s="23" t="s">
        <v>37</v>
      </c>
      <c r="E584" s="14">
        <v>5</v>
      </c>
      <c r="F584" s="14" t="s">
        <v>36</v>
      </c>
      <c r="G584" s="14">
        <v>836.5</v>
      </c>
      <c r="H584" s="14">
        <f>Tabla26915[[#This Row],[Total cluster weight (g)]]/COUNTA(A580:A584)</f>
        <v>167.3</v>
      </c>
    </row>
    <row r="585" spans="1:8" x14ac:dyDescent="0.55000000000000004">
      <c r="A585" s="11" t="s">
        <v>150</v>
      </c>
      <c r="B585" s="12">
        <v>55</v>
      </c>
      <c r="C585" s="12">
        <v>70</v>
      </c>
      <c r="D585" s="28" t="s">
        <v>37</v>
      </c>
      <c r="E585" s="12">
        <v>6</v>
      </c>
      <c r="F585" s="12" t="s">
        <v>35</v>
      </c>
      <c r="G585" s="12"/>
      <c r="H585" s="12"/>
    </row>
    <row r="586" spans="1:8" x14ac:dyDescent="0.55000000000000004">
      <c r="A586" s="8" t="s">
        <v>151</v>
      </c>
      <c r="B586" s="9">
        <v>57</v>
      </c>
      <c r="C586" s="9">
        <v>71</v>
      </c>
      <c r="D586" s="21" t="s">
        <v>37</v>
      </c>
      <c r="E586" s="9">
        <v>6</v>
      </c>
      <c r="F586" s="9" t="s">
        <v>35</v>
      </c>
      <c r="G586" s="9"/>
      <c r="H586" s="9"/>
    </row>
    <row r="587" spans="1:8" x14ac:dyDescent="0.55000000000000004">
      <c r="A587" s="10" t="s">
        <v>152</v>
      </c>
      <c r="B587" s="9">
        <v>59</v>
      </c>
      <c r="C587" s="9">
        <v>71</v>
      </c>
      <c r="D587" s="21" t="s">
        <v>37</v>
      </c>
      <c r="E587" s="9">
        <v>6</v>
      </c>
      <c r="F587" s="9" t="s">
        <v>36</v>
      </c>
      <c r="G587" s="9"/>
      <c r="H587" s="9"/>
    </row>
    <row r="588" spans="1:8" x14ac:dyDescent="0.55000000000000004">
      <c r="A588" s="11" t="s">
        <v>153</v>
      </c>
      <c r="B588" s="9">
        <v>58</v>
      </c>
      <c r="C588" s="9">
        <v>71</v>
      </c>
      <c r="D588" s="21" t="s">
        <v>37</v>
      </c>
      <c r="E588" s="9">
        <v>6</v>
      </c>
      <c r="F588" s="9" t="s">
        <v>36</v>
      </c>
      <c r="G588" s="9"/>
      <c r="H588" s="9"/>
    </row>
    <row r="589" spans="1:8" ht="14.7" thickBot="1" x14ac:dyDescent="0.6">
      <c r="A589" s="13" t="s">
        <v>158</v>
      </c>
      <c r="B589" s="14">
        <v>64</v>
      </c>
      <c r="C589" s="14">
        <v>81</v>
      </c>
      <c r="D589" s="23" t="s">
        <v>37</v>
      </c>
      <c r="E589" s="14">
        <v>6</v>
      </c>
      <c r="F589" s="14" t="s">
        <v>36</v>
      </c>
      <c r="G589" s="14">
        <v>861</v>
      </c>
      <c r="H589" s="14">
        <f>Tabla26915[[#This Row],[Total cluster weight (g)]]/COUNTA(A585:A589)</f>
        <v>172.2</v>
      </c>
    </row>
    <row r="590" spans="1:8" x14ac:dyDescent="0.55000000000000004">
      <c r="A590" s="6" t="s">
        <v>215</v>
      </c>
      <c r="B590" s="7">
        <v>59</v>
      </c>
      <c r="C590" s="7">
        <v>72</v>
      </c>
      <c r="D590" s="21" t="s">
        <v>37</v>
      </c>
      <c r="E590" s="9">
        <v>7</v>
      </c>
      <c r="F590" s="9" t="s">
        <v>36</v>
      </c>
      <c r="G590" s="9"/>
      <c r="H590" s="88"/>
    </row>
    <row r="591" spans="1:8" x14ac:dyDescent="0.55000000000000004">
      <c r="A591" s="8" t="s">
        <v>216</v>
      </c>
      <c r="B591" s="9">
        <v>59</v>
      </c>
      <c r="C591" s="9">
        <v>71</v>
      </c>
      <c r="D591" s="21" t="s">
        <v>37</v>
      </c>
      <c r="E591" s="9">
        <v>7</v>
      </c>
      <c r="F591" s="9" t="s">
        <v>36</v>
      </c>
      <c r="G591" s="9"/>
      <c r="H591" s="88"/>
    </row>
    <row r="592" spans="1:8" x14ac:dyDescent="0.55000000000000004">
      <c r="A592" s="10" t="s">
        <v>217</v>
      </c>
      <c r="B592" s="9">
        <v>58</v>
      </c>
      <c r="C592" s="9">
        <v>70</v>
      </c>
      <c r="D592" s="21" t="s">
        <v>37</v>
      </c>
      <c r="E592" s="9">
        <v>7</v>
      </c>
      <c r="F592" s="9" t="s">
        <v>36</v>
      </c>
      <c r="G592" s="9"/>
      <c r="H592" s="88"/>
    </row>
    <row r="593" spans="1:8" x14ac:dyDescent="0.55000000000000004">
      <c r="A593" s="11" t="s">
        <v>218</v>
      </c>
      <c r="B593" s="12">
        <v>58</v>
      </c>
      <c r="C593" s="12">
        <v>72</v>
      </c>
      <c r="D593" s="21" t="s">
        <v>37</v>
      </c>
      <c r="E593" s="9">
        <v>7</v>
      </c>
      <c r="F593" s="9" t="s">
        <v>36</v>
      </c>
      <c r="G593" s="9"/>
      <c r="H593" s="88"/>
    </row>
    <row r="594" spans="1:8" ht="14.7" thickBot="1" x14ac:dyDescent="0.6">
      <c r="A594" s="13" t="s">
        <v>219</v>
      </c>
      <c r="B594" s="14">
        <v>54</v>
      </c>
      <c r="C594" s="14">
        <v>73</v>
      </c>
      <c r="D594" s="23" t="s">
        <v>37</v>
      </c>
      <c r="E594" s="14">
        <v>7</v>
      </c>
      <c r="F594" s="14" t="s">
        <v>36</v>
      </c>
      <c r="G594" s="14">
        <v>817</v>
      </c>
      <c r="H594" s="14">
        <f>Tabla26915[[#This Row],[Total cluster weight (g)]]/COUNTA(A590:A594)</f>
        <v>163.4</v>
      </c>
    </row>
    <row r="595" spans="1:8" x14ac:dyDescent="0.55000000000000004">
      <c r="A595" s="29" t="s">
        <v>222</v>
      </c>
      <c r="B595" s="9">
        <v>57</v>
      </c>
      <c r="C595" s="9">
        <v>67</v>
      </c>
      <c r="D595" s="21" t="s">
        <v>37</v>
      </c>
      <c r="E595" s="9">
        <v>8</v>
      </c>
      <c r="F595" s="9" t="s">
        <v>35</v>
      </c>
      <c r="G595" s="9"/>
      <c r="H595" s="88"/>
    </row>
    <row r="596" spans="1:8" x14ac:dyDescent="0.55000000000000004">
      <c r="A596" s="29" t="s">
        <v>223</v>
      </c>
      <c r="B596" s="9">
        <v>59</v>
      </c>
      <c r="C596" s="9">
        <v>71</v>
      </c>
      <c r="D596" s="21" t="s">
        <v>37</v>
      </c>
      <c r="E596" s="9">
        <v>8</v>
      </c>
      <c r="F596" s="9" t="s">
        <v>35</v>
      </c>
      <c r="G596" s="9"/>
      <c r="H596" s="88"/>
    </row>
    <row r="597" spans="1:8" x14ac:dyDescent="0.55000000000000004">
      <c r="A597" s="29" t="s">
        <v>232</v>
      </c>
      <c r="B597" s="9">
        <v>58</v>
      </c>
      <c r="C597" s="9">
        <v>72</v>
      </c>
      <c r="D597" s="21" t="s">
        <v>37</v>
      </c>
      <c r="E597" s="9">
        <v>8</v>
      </c>
      <c r="F597" s="9" t="s">
        <v>36</v>
      </c>
      <c r="G597" s="9"/>
      <c r="H597" s="88"/>
    </row>
    <row r="598" spans="1:8" x14ac:dyDescent="0.55000000000000004">
      <c r="A598" s="29" t="s">
        <v>233</v>
      </c>
      <c r="B598" s="9">
        <v>60</v>
      </c>
      <c r="C598" s="9">
        <v>73</v>
      </c>
      <c r="D598" s="21" t="s">
        <v>37</v>
      </c>
      <c r="E598" s="9">
        <v>8</v>
      </c>
      <c r="F598" s="9" t="s">
        <v>36</v>
      </c>
      <c r="G598" s="9"/>
      <c r="H598" s="88"/>
    </row>
    <row r="599" spans="1:8" ht="14.7" thickBot="1" x14ac:dyDescent="0.6">
      <c r="A599" s="91" t="s">
        <v>234</v>
      </c>
      <c r="B599" s="14">
        <v>60</v>
      </c>
      <c r="C599" s="14">
        <v>75</v>
      </c>
      <c r="D599" s="23" t="s">
        <v>37</v>
      </c>
      <c r="E599" s="14">
        <v>8</v>
      </c>
      <c r="F599" s="14" t="s">
        <v>36</v>
      </c>
      <c r="G599" s="14">
        <v>830</v>
      </c>
      <c r="H599" s="102">
        <f>Tabla26915[[#This Row],[Total cluster weight (g)]]/COUNTA(A595:A599)</f>
        <v>166</v>
      </c>
    </row>
    <row r="600" spans="1:8" x14ac:dyDescent="0.55000000000000004">
      <c r="A600" s="29" t="s">
        <v>235</v>
      </c>
      <c r="B600" s="9">
        <v>58</v>
      </c>
      <c r="C600" s="9">
        <v>70</v>
      </c>
      <c r="D600" s="21" t="s">
        <v>37</v>
      </c>
      <c r="E600" s="9">
        <v>9</v>
      </c>
      <c r="F600" s="9" t="s">
        <v>35</v>
      </c>
      <c r="G600" s="9"/>
      <c r="H600" s="88"/>
    </row>
    <row r="601" spans="1:8" x14ac:dyDescent="0.55000000000000004">
      <c r="A601" s="29" t="s">
        <v>236</v>
      </c>
      <c r="B601" s="9">
        <v>59</v>
      </c>
      <c r="C601" s="9">
        <v>69</v>
      </c>
      <c r="D601" s="21" t="s">
        <v>37</v>
      </c>
      <c r="E601" s="9">
        <v>9</v>
      </c>
      <c r="F601" s="9" t="s">
        <v>35</v>
      </c>
      <c r="G601" s="9"/>
      <c r="H601" s="88"/>
    </row>
    <row r="602" spans="1:8" x14ac:dyDescent="0.55000000000000004">
      <c r="A602" s="29" t="s">
        <v>248</v>
      </c>
      <c r="B602" s="9">
        <v>62</v>
      </c>
      <c r="C602" s="9">
        <v>75</v>
      </c>
      <c r="D602" s="21" t="s">
        <v>37</v>
      </c>
      <c r="E602" s="9">
        <v>9</v>
      </c>
      <c r="F602" s="9" t="s">
        <v>35</v>
      </c>
      <c r="G602" s="9"/>
      <c r="H602" s="88"/>
    </row>
    <row r="603" spans="1:8" x14ac:dyDescent="0.55000000000000004">
      <c r="A603" s="29" t="s">
        <v>249</v>
      </c>
      <c r="B603" s="9">
        <v>61</v>
      </c>
      <c r="C603" s="9">
        <v>75</v>
      </c>
      <c r="D603" s="21" t="s">
        <v>37</v>
      </c>
      <c r="E603" s="9">
        <v>9</v>
      </c>
      <c r="F603" s="9" t="s">
        <v>35</v>
      </c>
      <c r="G603" s="9"/>
      <c r="H603" s="88"/>
    </row>
    <row r="604" spans="1:8" ht="14.7" thickBot="1" x14ac:dyDescent="0.6">
      <c r="A604" s="91" t="s">
        <v>250</v>
      </c>
      <c r="B604" s="14">
        <v>60</v>
      </c>
      <c r="C604" s="14">
        <v>73</v>
      </c>
      <c r="D604" s="23" t="s">
        <v>37</v>
      </c>
      <c r="E604" s="14">
        <v>9</v>
      </c>
      <c r="F604" s="14" t="s">
        <v>35</v>
      </c>
      <c r="G604" s="14">
        <v>881.5</v>
      </c>
      <c r="H604" s="102">
        <f>Tabla26915[[#This Row],[Total cluster weight (g)]]/COUNTA(A600:A604)</f>
        <v>176.3</v>
      </c>
    </row>
    <row r="605" spans="1:8" x14ac:dyDescent="0.55000000000000004">
      <c r="A605" s="29"/>
      <c r="B605" s="30"/>
      <c r="C605" s="30"/>
      <c r="D605" s="31"/>
      <c r="E605" s="30"/>
      <c r="F605" s="30"/>
      <c r="G605" s="30"/>
    </row>
    <row r="606" spans="1:8" x14ac:dyDescent="0.55000000000000004">
      <c r="A606" s="59" t="s">
        <v>201</v>
      </c>
      <c r="B606" s="55" t="s">
        <v>162</v>
      </c>
      <c r="C606" s="55" t="s">
        <v>163</v>
      </c>
      <c r="D606" s="55" t="s">
        <v>164</v>
      </c>
      <c r="E606" s="55" t="s">
        <v>165</v>
      </c>
      <c r="F606" s="56" t="s">
        <v>189</v>
      </c>
      <c r="G606" s="110" t="s">
        <v>230</v>
      </c>
    </row>
    <row r="607" spans="1:8" x14ac:dyDescent="0.55000000000000004">
      <c r="A607" s="60" t="s">
        <v>166</v>
      </c>
      <c r="B607" s="57">
        <f>AVERAGE(Tabla26915[Height (mm)])</f>
        <v>57.5</v>
      </c>
      <c r="C607" s="57">
        <f>AVERAGE(Tabla26915[Width (mm)])</f>
        <v>71.065217391304344</v>
      </c>
      <c r="D607" s="57">
        <f>MAX(Tabla26915[[Cluster number ]])</f>
        <v>9</v>
      </c>
      <c r="E607" s="57">
        <f>AVERAGE(Tabla26915[Tomato average weight per cluster])</f>
        <v>160.81666666666669</v>
      </c>
      <c r="F607" s="58">
        <f>COUNTA(Tabla26915["L12" PLANT])</f>
        <v>46</v>
      </c>
      <c r="G607" s="109">
        <f>SUM(Tabla26915[Total cluster weight (g)])</f>
        <v>7380</v>
      </c>
    </row>
    <row r="609" spans="1:9" ht="14.7" thickBot="1" x14ac:dyDescent="0.6">
      <c r="A609" s="5" t="s">
        <v>113</v>
      </c>
      <c r="B609" t="s">
        <v>3</v>
      </c>
      <c r="C609" t="s">
        <v>4</v>
      </c>
      <c r="D609" t="s">
        <v>5</v>
      </c>
      <c r="E609" t="s">
        <v>6</v>
      </c>
      <c r="F609" t="s">
        <v>7</v>
      </c>
      <c r="G609" t="s">
        <v>8</v>
      </c>
      <c r="H609" s="52" t="s">
        <v>161</v>
      </c>
    </row>
    <row r="610" spans="1:9" x14ac:dyDescent="0.55000000000000004">
      <c r="A610" s="6" t="s">
        <v>9</v>
      </c>
      <c r="B610" s="7">
        <v>46</v>
      </c>
      <c r="C610" s="9">
        <v>67</v>
      </c>
      <c r="D610" s="21" t="s">
        <v>37</v>
      </c>
      <c r="E610" s="9">
        <v>1</v>
      </c>
      <c r="F610" s="9" t="s">
        <v>35</v>
      </c>
      <c r="G610" s="9"/>
      <c r="H610" s="66"/>
    </row>
    <row r="611" spans="1:9" x14ac:dyDescent="0.55000000000000004">
      <c r="A611" s="8" t="s">
        <v>10</v>
      </c>
      <c r="B611" s="9">
        <v>52</v>
      </c>
      <c r="C611" s="9">
        <v>71</v>
      </c>
      <c r="D611" s="21" t="s">
        <v>37</v>
      </c>
      <c r="E611" s="9">
        <v>1</v>
      </c>
      <c r="F611" s="9" t="s">
        <v>35</v>
      </c>
      <c r="G611" s="9"/>
      <c r="H611" s="16"/>
    </row>
    <row r="612" spans="1:9" x14ac:dyDescent="0.55000000000000004">
      <c r="A612" s="10" t="s">
        <v>11</v>
      </c>
      <c r="B612" s="20">
        <v>50</v>
      </c>
      <c r="C612" s="9">
        <v>67</v>
      </c>
      <c r="D612" s="21" t="s">
        <v>37</v>
      </c>
      <c r="E612" s="9">
        <v>1</v>
      </c>
      <c r="F612" s="9" t="s">
        <v>36</v>
      </c>
      <c r="G612" s="9"/>
      <c r="H612" s="18"/>
    </row>
    <row r="613" spans="1:9" ht="14.7" thickBot="1" x14ac:dyDescent="0.6">
      <c r="A613" s="11" t="s">
        <v>12</v>
      </c>
      <c r="B613" s="14">
        <v>50</v>
      </c>
      <c r="C613" s="14">
        <v>70</v>
      </c>
      <c r="D613" s="23" t="s">
        <v>37</v>
      </c>
      <c r="E613" s="14">
        <v>1</v>
      </c>
      <c r="F613" s="14" t="s">
        <v>36</v>
      </c>
      <c r="G613" s="14">
        <v>527</v>
      </c>
      <c r="H613" s="27">
        <f>Tabla26916[[#This Row],[Total cluster weight (g)]]/COUNTA(A610:A613)</f>
        <v>131.75</v>
      </c>
    </row>
    <row r="614" spans="1:9" x14ac:dyDescent="0.55000000000000004">
      <c r="A614" s="6" t="s">
        <v>13</v>
      </c>
      <c r="B614" s="7">
        <v>43</v>
      </c>
      <c r="C614" s="7">
        <v>55</v>
      </c>
      <c r="D614" s="28" t="s">
        <v>37</v>
      </c>
      <c r="E614" s="9">
        <v>2</v>
      </c>
      <c r="F614" s="12" t="s">
        <v>35</v>
      </c>
      <c r="G614" s="9"/>
      <c r="H614" s="66"/>
    </row>
    <row r="615" spans="1:9" x14ac:dyDescent="0.55000000000000004">
      <c r="A615" s="10" t="s">
        <v>41</v>
      </c>
      <c r="B615" s="9">
        <v>44</v>
      </c>
      <c r="C615" s="9">
        <v>57</v>
      </c>
      <c r="D615" s="28" t="s">
        <v>37</v>
      </c>
      <c r="E615" s="9">
        <v>2</v>
      </c>
      <c r="F615" s="12" t="s">
        <v>36</v>
      </c>
      <c r="G615" s="9"/>
      <c r="H615" s="16"/>
    </row>
    <row r="616" spans="1:9" x14ac:dyDescent="0.55000000000000004">
      <c r="A616" s="10" t="s">
        <v>42</v>
      </c>
      <c r="B616" s="9">
        <v>48</v>
      </c>
      <c r="C616" s="9">
        <v>62</v>
      </c>
      <c r="D616" s="28" t="s">
        <v>37</v>
      </c>
      <c r="E616" s="9">
        <v>2</v>
      </c>
      <c r="F616" s="12" t="s">
        <v>36</v>
      </c>
      <c r="G616" s="9"/>
      <c r="H616" s="18"/>
    </row>
    <row r="617" spans="1:9" x14ac:dyDescent="0.55000000000000004">
      <c r="A617" s="34" t="s">
        <v>43</v>
      </c>
      <c r="B617" s="12">
        <v>50</v>
      </c>
      <c r="C617" s="12">
        <v>63</v>
      </c>
      <c r="D617" s="28" t="s">
        <v>37</v>
      </c>
      <c r="E617" s="12">
        <v>2</v>
      </c>
      <c r="F617" s="12" t="s">
        <v>36</v>
      </c>
      <c r="G617" s="9"/>
      <c r="H617" s="16"/>
    </row>
    <row r="618" spans="1:9" ht="14.7" thickBot="1" x14ac:dyDescent="0.6">
      <c r="A618" s="35" t="s">
        <v>47</v>
      </c>
      <c r="B618" s="14">
        <v>49</v>
      </c>
      <c r="C618" s="14">
        <v>67</v>
      </c>
      <c r="D618" s="23" t="s">
        <v>37</v>
      </c>
      <c r="E618" s="14">
        <v>2</v>
      </c>
      <c r="F618" s="14" t="s">
        <v>36</v>
      </c>
      <c r="G618" s="14">
        <v>475.5</v>
      </c>
      <c r="H618" s="19">
        <f>Tabla26916[[#This Row],[Total cluster weight (g)]]/COUNTA(A614:A618)</f>
        <v>95.1</v>
      </c>
    </row>
    <row r="619" spans="1:9" x14ac:dyDescent="0.55000000000000004">
      <c r="A619" s="11" t="s">
        <v>57</v>
      </c>
      <c r="B619" s="12">
        <v>47</v>
      </c>
      <c r="C619" s="12">
        <v>58</v>
      </c>
      <c r="D619" s="28" t="s">
        <v>37</v>
      </c>
      <c r="E619" s="12">
        <v>3</v>
      </c>
      <c r="F619" s="12" t="s">
        <v>35</v>
      </c>
      <c r="G619" s="12"/>
      <c r="H619" s="68"/>
      <c r="I619" t="s">
        <v>56</v>
      </c>
    </row>
    <row r="620" spans="1:9" x14ac:dyDescent="0.55000000000000004">
      <c r="A620" s="10" t="s">
        <v>75</v>
      </c>
      <c r="B620" s="9">
        <v>49</v>
      </c>
      <c r="C620" s="9">
        <v>64</v>
      </c>
      <c r="D620" s="28" t="s">
        <v>37</v>
      </c>
      <c r="E620" s="9">
        <v>3</v>
      </c>
      <c r="F620" s="12" t="s">
        <v>35</v>
      </c>
      <c r="G620" s="12"/>
      <c r="H620" s="18"/>
    </row>
    <row r="621" spans="1:9" x14ac:dyDescent="0.55000000000000004">
      <c r="A621" s="10" t="s">
        <v>76</v>
      </c>
      <c r="B621" s="9">
        <v>52</v>
      </c>
      <c r="C621" s="9">
        <v>65</v>
      </c>
      <c r="D621" s="28" t="s">
        <v>37</v>
      </c>
      <c r="E621" s="9">
        <v>3</v>
      </c>
      <c r="F621" s="12" t="s">
        <v>35</v>
      </c>
      <c r="G621" s="12"/>
      <c r="H621" s="16"/>
    </row>
    <row r="622" spans="1:9" x14ac:dyDescent="0.55000000000000004">
      <c r="A622" s="10" t="s">
        <v>51</v>
      </c>
      <c r="B622" s="9">
        <v>42</v>
      </c>
      <c r="C622" s="9">
        <v>56</v>
      </c>
      <c r="D622" s="21" t="s">
        <v>37</v>
      </c>
      <c r="E622" s="9">
        <v>3</v>
      </c>
      <c r="F622" s="9" t="s">
        <v>36</v>
      </c>
      <c r="G622" s="12"/>
      <c r="H622" s="18"/>
    </row>
    <row r="623" spans="1:9" ht="14.7" thickBot="1" x14ac:dyDescent="0.6">
      <c r="A623" s="35" t="s">
        <v>52</v>
      </c>
      <c r="B623" s="14">
        <v>52</v>
      </c>
      <c r="C623" s="14">
        <v>71</v>
      </c>
      <c r="D623" s="23" t="s">
        <v>37</v>
      </c>
      <c r="E623" s="14">
        <v>3</v>
      </c>
      <c r="F623" s="14" t="s">
        <v>36</v>
      </c>
      <c r="G623" s="14">
        <v>524.5</v>
      </c>
      <c r="H623" s="27">
        <f>Tabla26916[[#This Row],[Total cluster weight (g)]]/COUNTA(A619:A623)</f>
        <v>104.9</v>
      </c>
    </row>
    <row r="624" spans="1:9" x14ac:dyDescent="0.55000000000000004">
      <c r="A624" s="6" t="s">
        <v>53</v>
      </c>
      <c r="B624" s="7">
        <v>43</v>
      </c>
      <c r="C624" s="7">
        <v>55</v>
      </c>
      <c r="D624" s="21" t="s">
        <v>37</v>
      </c>
      <c r="E624" s="9">
        <v>4</v>
      </c>
      <c r="F624" s="9" t="s">
        <v>61</v>
      </c>
      <c r="G624" s="12"/>
      <c r="H624" s="69"/>
    </row>
    <row r="625" spans="1:8" x14ac:dyDescent="0.55000000000000004">
      <c r="A625" s="8" t="s">
        <v>80</v>
      </c>
      <c r="B625" s="9">
        <v>43</v>
      </c>
      <c r="C625" s="9">
        <v>55</v>
      </c>
      <c r="D625" s="21" t="s">
        <v>37</v>
      </c>
      <c r="E625" s="9">
        <v>4</v>
      </c>
      <c r="F625" s="9" t="s">
        <v>68</v>
      </c>
      <c r="G625" s="9"/>
      <c r="H625" s="5"/>
    </row>
    <row r="626" spans="1:8" x14ac:dyDescent="0.55000000000000004">
      <c r="A626" s="10" t="s">
        <v>81</v>
      </c>
      <c r="B626" s="9">
        <v>46</v>
      </c>
      <c r="C626" s="9">
        <v>61</v>
      </c>
      <c r="D626" s="21" t="s">
        <v>37</v>
      </c>
      <c r="E626" s="9">
        <v>4</v>
      </c>
      <c r="F626" s="9" t="s">
        <v>35</v>
      </c>
      <c r="G626" s="9"/>
      <c r="H626" s="5"/>
    </row>
    <row r="627" spans="1:8" x14ac:dyDescent="0.55000000000000004">
      <c r="A627" s="11" t="s">
        <v>66</v>
      </c>
      <c r="B627" s="12">
        <v>48</v>
      </c>
      <c r="C627" s="12">
        <v>61</v>
      </c>
      <c r="D627" s="21" t="s">
        <v>37</v>
      </c>
      <c r="E627" s="9">
        <v>4</v>
      </c>
      <c r="F627" s="12" t="s">
        <v>36</v>
      </c>
      <c r="G627" s="9"/>
      <c r="H627" s="5"/>
    </row>
    <row r="628" spans="1:8" ht="14.7" thickBot="1" x14ac:dyDescent="0.6">
      <c r="A628" s="13" t="s">
        <v>67</v>
      </c>
      <c r="B628" s="14">
        <v>50</v>
      </c>
      <c r="C628" s="14">
        <v>67</v>
      </c>
      <c r="D628" s="23" t="s">
        <v>37</v>
      </c>
      <c r="E628" s="14">
        <v>4</v>
      </c>
      <c r="F628" s="14" t="s">
        <v>36</v>
      </c>
      <c r="G628" s="14">
        <v>436.5</v>
      </c>
      <c r="H628" s="19">
        <f>Tabla26916[[#This Row],[Total cluster weight (g)]]/COUNTA(A624:A628)</f>
        <v>87.3</v>
      </c>
    </row>
    <row r="629" spans="1:8" s="104" customFormat="1" x14ac:dyDescent="0.55000000000000004">
      <c r="A629" s="6" t="s">
        <v>71</v>
      </c>
      <c r="B629" s="7">
        <v>42</v>
      </c>
      <c r="C629" s="7">
        <v>54</v>
      </c>
      <c r="D629" s="21" t="s">
        <v>37</v>
      </c>
      <c r="E629" s="9">
        <v>5</v>
      </c>
      <c r="F629" s="9" t="s">
        <v>36</v>
      </c>
      <c r="G629" s="9"/>
      <c r="H629" s="105"/>
    </row>
    <row r="630" spans="1:8" s="104" customFormat="1" x14ac:dyDescent="0.55000000000000004">
      <c r="A630" s="8" t="s">
        <v>89</v>
      </c>
      <c r="B630" s="9">
        <v>47</v>
      </c>
      <c r="C630" s="9">
        <v>58</v>
      </c>
      <c r="D630" s="21" t="s">
        <v>37</v>
      </c>
      <c r="E630" s="9">
        <v>5</v>
      </c>
      <c r="F630" s="9" t="s">
        <v>36</v>
      </c>
      <c r="G630" s="9"/>
      <c r="H630" s="105"/>
    </row>
    <row r="631" spans="1:8" s="104" customFormat="1" x14ac:dyDescent="0.55000000000000004">
      <c r="A631" s="10" t="s">
        <v>92</v>
      </c>
      <c r="B631" s="9">
        <v>48</v>
      </c>
      <c r="C631" s="9">
        <v>57</v>
      </c>
      <c r="D631" s="21" t="s">
        <v>37</v>
      </c>
      <c r="E631" s="9">
        <v>5</v>
      </c>
      <c r="F631" s="9" t="s">
        <v>36</v>
      </c>
      <c r="G631" s="9"/>
      <c r="H631" s="105"/>
    </row>
    <row r="632" spans="1:8" s="104" customFormat="1" x14ac:dyDescent="0.55000000000000004">
      <c r="A632" s="10" t="s">
        <v>93</v>
      </c>
      <c r="B632" s="9">
        <v>50</v>
      </c>
      <c r="C632" s="9">
        <v>57</v>
      </c>
      <c r="D632" s="21" t="s">
        <v>37</v>
      </c>
      <c r="E632" s="9">
        <v>5</v>
      </c>
      <c r="F632" s="9" t="s">
        <v>36</v>
      </c>
      <c r="G632" s="9"/>
      <c r="H632" s="105"/>
    </row>
    <row r="633" spans="1:8" s="104" customFormat="1" x14ac:dyDescent="0.55000000000000004">
      <c r="A633" s="10" t="s">
        <v>94</v>
      </c>
      <c r="B633" s="9">
        <v>50</v>
      </c>
      <c r="C633" s="9">
        <v>63</v>
      </c>
      <c r="D633" s="21" t="s">
        <v>37</v>
      </c>
      <c r="E633" s="9">
        <v>5</v>
      </c>
      <c r="F633" s="9" t="s">
        <v>36</v>
      </c>
      <c r="G633" s="9"/>
      <c r="H633" s="105"/>
    </row>
    <row r="634" spans="1:8" ht="14.7" thickBot="1" x14ac:dyDescent="0.6">
      <c r="A634" s="13" t="s">
        <v>95</v>
      </c>
      <c r="B634" s="14">
        <v>52</v>
      </c>
      <c r="C634" s="14">
        <v>65</v>
      </c>
      <c r="D634" s="23" t="s">
        <v>37</v>
      </c>
      <c r="E634" s="14">
        <v>5</v>
      </c>
      <c r="F634" s="14" t="s">
        <v>36</v>
      </c>
      <c r="G634" s="14">
        <v>549</v>
      </c>
      <c r="H634" s="19">
        <f>Tabla26916[[#This Row],[Total cluster weight (g)]]/COUNTA(A629:A634)</f>
        <v>91.5</v>
      </c>
    </row>
    <row r="635" spans="1:8" s="104" customFormat="1" x14ac:dyDescent="0.55000000000000004">
      <c r="A635" s="121" t="s">
        <v>144</v>
      </c>
      <c r="B635" s="122">
        <v>49</v>
      </c>
      <c r="C635" s="122">
        <v>64</v>
      </c>
      <c r="D635" s="123" t="s">
        <v>37</v>
      </c>
      <c r="E635" s="122">
        <v>6</v>
      </c>
      <c r="F635" s="122" t="s">
        <v>36</v>
      </c>
      <c r="G635" s="122"/>
      <c r="H635" s="124"/>
    </row>
    <row r="636" spans="1:8" x14ac:dyDescent="0.55000000000000004">
      <c r="A636" s="10" t="s">
        <v>150</v>
      </c>
      <c r="B636" s="9">
        <v>53</v>
      </c>
      <c r="C636" s="9">
        <v>64</v>
      </c>
      <c r="D636" s="21" t="s">
        <v>37</v>
      </c>
      <c r="E636" s="9">
        <v>6</v>
      </c>
      <c r="F636" s="9" t="s">
        <v>36</v>
      </c>
      <c r="G636" s="9"/>
      <c r="H636" s="120"/>
    </row>
    <row r="637" spans="1:8" x14ac:dyDescent="0.55000000000000004">
      <c r="A637" s="10" t="s">
        <v>151</v>
      </c>
      <c r="B637" s="9">
        <v>51</v>
      </c>
      <c r="C637" s="9">
        <v>65</v>
      </c>
      <c r="D637" s="21" t="s">
        <v>37</v>
      </c>
      <c r="E637" s="9">
        <v>6</v>
      </c>
      <c r="F637" s="9" t="s">
        <v>36</v>
      </c>
      <c r="G637" s="9"/>
      <c r="H637" s="120"/>
    </row>
    <row r="638" spans="1:8" x14ac:dyDescent="0.55000000000000004">
      <c r="A638" s="10" t="s">
        <v>152</v>
      </c>
      <c r="B638" s="9">
        <v>51</v>
      </c>
      <c r="C638" s="9">
        <v>66</v>
      </c>
      <c r="D638" s="21" t="s">
        <v>37</v>
      </c>
      <c r="E638" s="9">
        <v>6</v>
      </c>
      <c r="F638" s="9" t="s">
        <v>36</v>
      </c>
      <c r="G638" s="9"/>
      <c r="H638" s="120"/>
    </row>
    <row r="639" spans="1:8" ht="14.7" thickBot="1" x14ac:dyDescent="0.6">
      <c r="A639" s="35" t="s">
        <v>153</v>
      </c>
      <c r="B639" s="14">
        <v>50</v>
      </c>
      <c r="C639" s="14">
        <v>68</v>
      </c>
      <c r="D639" s="23" t="s">
        <v>37</v>
      </c>
      <c r="E639" s="14">
        <v>6</v>
      </c>
      <c r="F639" s="14" t="s">
        <v>36</v>
      </c>
      <c r="G639" s="14">
        <v>593</v>
      </c>
      <c r="H639" s="125">
        <f>Tabla26916[[#This Row],[Total cluster weight (g)]]/COUNTA(A635:A639)</f>
        <v>118.6</v>
      </c>
    </row>
    <row r="640" spans="1:8" x14ac:dyDescent="0.55000000000000004">
      <c r="A640" s="34" t="s">
        <v>158</v>
      </c>
      <c r="B640" s="12">
        <v>51</v>
      </c>
      <c r="C640" s="12">
        <v>62</v>
      </c>
      <c r="D640" s="28" t="s">
        <v>37</v>
      </c>
      <c r="E640" s="12">
        <v>7</v>
      </c>
      <c r="F640" s="12" t="s">
        <v>35</v>
      </c>
      <c r="G640" s="12"/>
      <c r="H640" s="124"/>
    </row>
    <row r="641" spans="1:9" x14ac:dyDescent="0.55000000000000004">
      <c r="A641" s="10" t="s">
        <v>215</v>
      </c>
      <c r="B641" s="9">
        <v>51</v>
      </c>
      <c r="C641" s="9">
        <v>65</v>
      </c>
      <c r="D641" s="21" t="s">
        <v>37</v>
      </c>
      <c r="E641" s="9">
        <v>7</v>
      </c>
      <c r="F641" s="9" t="s">
        <v>35</v>
      </c>
      <c r="G641" s="9"/>
      <c r="H641" s="120"/>
    </row>
    <row r="642" spans="1:9" x14ac:dyDescent="0.55000000000000004">
      <c r="A642" s="10" t="s">
        <v>216</v>
      </c>
      <c r="B642" s="9">
        <v>53</v>
      </c>
      <c r="C642" s="9">
        <v>68</v>
      </c>
      <c r="D642" s="21" t="s">
        <v>37</v>
      </c>
      <c r="E642" s="9">
        <v>7</v>
      </c>
      <c r="F642" s="9" t="s">
        <v>36</v>
      </c>
      <c r="G642" s="9"/>
      <c r="H642" s="120"/>
    </row>
    <row r="643" spans="1:9" x14ac:dyDescent="0.55000000000000004">
      <c r="A643" s="10" t="s">
        <v>217</v>
      </c>
      <c r="B643" s="9">
        <v>52</v>
      </c>
      <c r="C643" s="9">
        <v>69</v>
      </c>
      <c r="D643" s="21" t="s">
        <v>37</v>
      </c>
      <c r="E643" s="9">
        <v>7</v>
      </c>
      <c r="F643" s="9" t="s">
        <v>36</v>
      </c>
      <c r="G643" s="9"/>
      <c r="H643" s="120"/>
    </row>
    <row r="644" spans="1:9" ht="14.7" thickBot="1" x14ac:dyDescent="0.6">
      <c r="A644" s="35" t="s">
        <v>218</v>
      </c>
      <c r="B644" s="14">
        <v>51</v>
      </c>
      <c r="C644" s="14">
        <v>68</v>
      </c>
      <c r="D644" s="23" t="s">
        <v>37</v>
      </c>
      <c r="E644" s="14">
        <v>7</v>
      </c>
      <c r="F644" s="14" t="s">
        <v>36</v>
      </c>
      <c r="G644" s="14">
        <v>635</v>
      </c>
      <c r="H644" s="125">
        <f>Tabla26916[[#This Row],[Total cluster weight (g)]]/COUNTA(A640:A644)</f>
        <v>127</v>
      </c>
    </row>
    <row r="645" spans="1:9" x14ac:dyDescent="0.55000000000000004">
      <c r="A645" s="34" t="s">
        <v>219</v>
      </c>
      <c r="B645" s="12">
        <v>46</v>
      </c>
      <c r="C645" s="12">
        <v>59</v>
      </c>
      <c r="D645" s="28" t="s">
        <v>37</v>
      </c>
      <c r="E645" s="12">
        <v>8</v>
      </c>
      <c r="F645" s="12" t="s">
        <v>35</v>
      </c>
      <c r="G645" s="12"/>
      <c r="H645" s="124"/>
    </row>
    <row r="646" spans="1:9" x14ac:dyDescent="0.55000000000000004">
      <c r="A646" s="10" t="s">
        <v>222</v>
      </c>
      <c r="B646" s="9">
        <v>53</v>
      </c>
      <c r="C646" s="9">
        <v>67</v>
      </c>
      <c r="D646" s="21" t="s">
        <v>37</v>
      </c>
      <c r="E646" s="9">
        <v>8</v>
      </c>
      <c r="F646" s="9" t="s">
        <v>35</v>
      </c>
      <c r="G646" s="9"/>
      <c r="H646" s="120"/>
    </row>
    <row r="647" spans="1:9" x14ac:dyDescent="0.55000000000000004">
      <c r="A647" s="10" t="s">
        <v>223</v>
      </c>
      <c r="B647" s="9">
        <v>51</v>
      </c>
      <c r="C647" s="9">
        <v>64</v>
      </c>
      <c r="D647" s="21" t="s">
        <v>37</v>
      </c>
      <c r="E647" s="9">
        <v>8</v>
      </c>
      <c r="F647" s="9" t="s">
        <v>36</v>
      </c>
      <c r="G647" s="9"/>
      <c r="H647" s="120"/>
    </row>
    <row r="648" spans="1:9" x14ac:dyDescent="0.55000000000000004">
      <c r="A648" s="10" t="s">
        <v>232</v>
      </c>
      <c r="B648" s="9">
        <v>54</v>
      </c>
      <c r="C648" s="9">
        <v>67</v>
      </c>
      <c r="D648" s="21" t="s">
        <v>37</v>
      </c>
      <c r="E648" s="9">
        <v>8</v>
      </c>
      <c r="F648" s="9" t="s">
        <v>36</v>
      </c>
      <c r="G648" s="9"/>
      <c r="H648" s="120"/>
    </row>
    <row r="649" spans="1:9" ht="14.7" thickBot="1" x14ac:dyDescent="0.6">
      <c r="A649" s="35" t="s">
        <v>233</v>
      </c>
      <c r="B649" s="14">
        <v>51</v>
      </c>
      <c r="C649" s="14">
        <v>70</v>
      </c>
      <c r="D649" s="23" t="s">
        <v>37</v>
      </c>
      <c r="E649" s="14">
        <v>8</v>
      </c>
      <c r="F649" s="14" t="s">
        <v>36</v>
      </c>
      <c r="G649" s="14">
        <v>611.5</v>
      </c>
      <c r="H649" s="125">
        <f>Tabla26916[[#This Row],[Total cluster weight (g)]]/COUNTA(A645:A649)</f>
        <v>122.3</v>
      </c>
    </row>
    <row r="650" spans="1:9" x14ac:dyDescent="0.55000000000000004">
      <c r="A650" s="6" t="s">
        <v>293</v>
      </c>
      <c r="B650" s="7">
        <v>53</v>
      </c>
      <c r="C650" s="7">
        <v>64</v>
      </c>
      <c r="D650" s="9" t="s">
        <v>37</v>
      </c>
      <c r="E650" s="9">
        <v>9</v>
      </c>
      <c r="F650" s="20" t="s">
        <v>36</v>
      </c>
      <c r="G650" s="9"/>
      <c r="H650" s="157"/>
      <c r="I650" t="s">
        <v>56</v>
      </c>
    </row>
    <row r="651" spans="1:9" x14ac:dyDescent="0.55000000000000004">
      <c r="A651" s="8" t="s">
        <v>294</v>
      </c>
      <c r="B651" s="9">
        <v>55</v>
      </c>
      <c r="C651" s="9">
        <v>69</v>
      </c>
      <c r="D651" s="9" t="s">
        <v>37</v>
      </c>
      <c r="E651" s="9">
        <v>9</v>
      </c>
      <c r="F651" s="9" t="s">
        <v>36</v>
      </c>
      <c r="G651" s="9"/>
      <c r="H651" s="157"/>
    </row>
    <row r="652" spans="1:9" ht="14.7" thickBot="1" x14ac:dyDescent="0.6">
      <c r="A652" s="35" t="s">
        <v>236</v>
      </c>
      <c r="B652" s="14">
        <v>54</v>
      </c>
      <c r="C652" s="14">
        <v>70</v>
      </c>
      <c r="D652" s="14" t="s">
        <v>37</v>
      </c>
      <c r="E652" s="14">
        <v>9</v>
      </c>
      <c r="F652" s="22" t="s">
        <v>36</v>
      </c>
      <c r="G652" s="14">
        <v>415</v>
      </c>
      <c r="H652" s="112">
        <f>Tabla26916[[#This Row],[Total cluster weight (g)]]/COUNTA(A650:A652)</f>
        <v>138.33333333333334</v>
      </c>
    </row>
    <row r="653" spans="1:9" x14ac:dyDescent="0.55000000000000004">
      <c r="A653" s="29"/>
      <c r="B653" s="30"/>
      <c r="C653" s="4"/>
      <c r="D653" s="31"/>
      <c r="E653" s="4"/>
      <c r="F653" s="4"/>
      <c r="G653" s="4"/>
    </row>
    <row r="654" spans="1:9" x14ac:dyDescent="0.55000000000000004">
      <c r="A654" s="59" t="s">
        <v>202</v>
      </c>
      <c r="B654" s="55" t="s">
        <v>162</v>
      </c>
      <c r="C654" s="55" t="s">
        <v>163</v>
      </c>
      <c r="D654" s="55" t="s">
        <v>164</v>
      </c>
      <c r="E654" s="55" t="s">
        <v>165</v>
      </c>
      <c r="F654" s="56" t="s">
        <v>189</v>
      </c>
      <c r="G654" s="110" t="s">
        <v>230</v>
      </c>
    </row>
    <row r="655" spans="1:9" x14ac:dyDescent="0.55000000000000004">
      <c r="A655" s="60" t="s">
        <v>166</v>
      </c>
      <c r="B655" s="57">
        <f>AVERAGE(Tabla26916[Height (mm)])</f>
        <v>49.348837209302324</v>
      </c>
      <c r="C655" s="57">
        <f>AVERAGE(Tabla26916[Width (mm)])</f>
        <v>63.604651162790695</v>
      </c>
      <c r="D655" s="57">
        <f>MAX(Tabla26916[[Cluster number ]])</f>
        <v>9</v>
      </c>
      <c r="E655" s="57">
        <f>AVERAGE(Tabla26916[Tomato average weight per cluster])</f>
        <v>112.97592592592592</v>
      </c>
      <c r="F655" s="58">
        <f>COUNTA(Tabla26916["L13" PLANT])</f>
        <v>43</v>
      </c>
      <c r="G655" s="109">
        <f>SUM(Tabla26916[Total cluster weight (g)])</f>
        <v>4767</v>
      </c>
    </row>
    <row r="657" spans="1:9" ht="14.7" thickBot="1" x14ac:dyDescent="0.6">
      <c r="A657" s="5" t="s">
        <v>114</v>
      </c>
      <c r="B657" t="s">
        <v>3</v>
      </c>
      <c r="C657" t="s">
        <v>4</v>
      </c>
      <c r="D657" t="s">
        <v>5</v>
      </c>
      <c r="E657" t="s">
        <v>6</v>
      </c>
      <c r="F657" t="s">
        <v>7</v>
      </c>
      <c r="G657" t="s">
        <v>8</v>
      </c>
      <c r="H657" s="52" t="s">
        <v>161</v>
      </c>
    </row>
    <row r="658" spans="1:9" x14ac:dyDescent="0.55000000000000004">
      <c r="A658" s="6" t="s">
        <v>9</v>
      </c>
      <c r="B658" s="7">
        <v>48</v>
      </c>
      <c r="C658" s="7">
        <v>63</v>
      </c>
      <c r="D658" s="21" t="s">
        <v>37</v>
      </c>
      <c r="E658" s="9">
        <v>1</v>
      </c>
      <c r="F658" s="9" t="s">
        <v>35</v>
      </c>
      <c r="G658" s="9"/>
      <c r="H658" s="66"/>
    </row>
    <row r="659" spans="1:9" x14ac:dyDescent="0.55000000000000004">
      <c r="A659" s="8" t="s">
        <v>10</v>
      </c>
      <c r="B659" s="9">
        <v>50</v>
      </c>
      <c r="C659" s="9">
        <v>65</v>
      </c>
      <c r="D659" s="21" t="s">
        <v>37</v>
      </c>
      <c r="E659" s="9">
        <v>1</v>
      </c>
      <c r="F659" s="9" t="s">
        <v>36</v>
      </c>
      <c r="G659" s="9"/>
      <c r="H659" s="16"/>
    </row>
    <row r="660" spans="1:9" x14ac:dyDescent="0.55000000000000004">
      <c r="A660" s="10" t="s">
        <v>11</v>
      </c>
      <c r="B660" s="9">
        <v>48</v>
      </c>
      <c r="C660" s="9">
        <v>65</v>
      </c>
      <c r="D660" s="21" t="s">
        <v>37</v>
      </c>
      <c r="E660" s="9">
        <v>1</v>
      </c>
      <c r="F660" s="9" t="s">
        <v>36</v>
      </c>
      <c r="G660" s="9"/>
      <c r="H660" s="18"/>
    </row>
    <row r="661" spans="1:9" ht="14.7" thickBot="1" x14ac:dyDescent="0.6">
      <c r="A661" s="11" t="s">
        <v>12</v>
      </c>
      <c r="B661" s="14">
        <v>49</v>
      </c>
      <c r="C661" s="14">
        <v>67</v>
      </c>
      <c r="D661" s="23" t="s">
        <v>37</v>
      </c>
      <c r="E661" s="14">
        <v>1</v>
      </c>
      <c r="F661" s="14" t="s">
        <v>36</v>
      </c>
      <c r="G661" s="14">
        <v>446</v>
      </c>
      <c r="H661" s="27">
        <f>Tabla2691617[[#This Row],[Total cluster weight (g)]]/COUNTA(A658:A661)</f>
        <v>111.5</v>
      </c>
    </row>
    <row r="662" spans="1:9" x14ac:dyDescent="0.55000000000000004">
      <c r="A662" s="6" t="s">
        <v>13</v>
      </c>
      <c r="B662" s="7">
        <v>47</v>
      </c>
      <c r="C662" s="7">
        <v>60</v>
      </c>
      <c r="D662" s="28" t="s">
        <v>37</v>
      </c>
      <c r="E662" s="9">
        <v>2</v>
      </c>
      <c r="F662" s="9" t="s">
        <v>35</v>
      </c>
      <c r="G662" s="9"/>
      <c r="H662" s="66"/>
    </row>
    <row r="663" spans="1:9" x14ac:dyDescent="0.55000000000000004">
      <c r="A663" s="10" t="s">
        <v>41</v>
      </c>
      <c r="B663" s="9">
        <v>47</v>
      </c>
      <c r="C663" s="9">
        <v>64</v>
      </c>
      <c r="D663" s="28" t="s">
        <v>37</v>
      </c>
      <c r="E663" s="9">
        <v>2</v>
      </c>
      <c r="F663" s="9" t="s">
        <v>35</v>
      </c>
      <c r="G663" s="9"/>
      <c r="H663" s="16"/>
    </row>
    <row r="664" spans="1:9" x14ac:dyDescent="0.55000000000000004">
      <c r="A664" s="10" t="s">
        <v>42</v>
      </c>
      <c r="B664" s="9">
        <v>52</v>
      </c>
      <c r="C664" s="9">
        <v>64</v>
      </c>
      <c r="D664" s="28" t="s">
        <v>37</v>
      </c>
      <c r="E664" s="9">
        <v>2</v>
      </c>
      <c r="F664" s="9" t="s">
        <v>35</v>
      </c>
      <c r="G664" s="9"/>
      <c r="H664" s="18"/>
    </row>
    <row r="665" spans="1:9" x14ac:dyDescent="0.55000000000000004">
      <c r="A665" s="34" t="s">
        <v>43</v>
      </c>
      <c r="B665" s="12">
        <v>51</v>
      </c>
      <c r="C665" s="12">
        <v>66</v>
      </c>
      <c r="D665" s="28" t="s">
        <v>37</v>
      </c>
      <c r="E665" s="9">
        <v>2</v>
      </c>
      <c r="F665" s="12" t="s">
        <v>36</v>
      </c>
      <c r="G665" s="9"/>
      <c r="H665" s="16"/>
    </row>
    <row r="666" spans="1:9" ht="14.7" thickBot="1" x14ac:dyDescent="0.6">
      <c r="A666" s="35" t="s">
        <v>47</v>
      </c>
      <c r="B666" s="14">
        <v>48</v>
      </c>
      <c r="C666" s="14">
        <v>76</v>
      </c>
      <c r="D666" s="23" t="s">
        <v>37</v>
      </c>
      <c r="E666" s="14">
        <v>2</v>
      </c>
      <c r="F666" s="14" t="s">
        <v>36</v>
      </c>
      <c r="G666" s="14">
        <v>586</v>
      </c>
      <c r="H666" s="27">
        <f>Tabla2691617[[#This Row],[Total cluster weight (g)]]/COUNTA(A662:A666)</f>
        <v>117.2</v>
      </c>
    </row>
    <row r="667" spans="1:9" x14ac:dyDescent="0.55000000000000004">
      <c r="A667" s="6" t="s">
        <v>48</v>
      </c>
      <c r="B667" s="7">
        <v>45</v>
      </c>
      <c r="C667" s="7">
        <v>60</v>
      </c>
      <c r="D667" s="28" t="s">
        <v>37</v>
      </c>
      <c r="E667" s="12">
        <v>3</v>
      </c>
      <c r="F667" s="9" t="s">
        <v>60</v>
      </c>
      <c r="G667" s="9"/>
      <c r="H667" s="68"/>
    </row>
    <row r="668" spans="1:9" x14ac:dyDescent="0.55000000000000004">
      <c r="A668" s="8" t="s">
        <v>49</v>
      </c>
      <c r="B668" s="9">
        <v>45</v>
      </c>
      <c r="C668" s="9">
        <v>54</v>
      </c>
      <c r="D668" s="28" t="s">
        <v>37</v>
      </c>
      <c r="E668" s="12">
        <v>3</v>
      </c>
      <c r="F668" s="9" t="s">
        <v>35</v>
      </c>
      <c r="G668" s="9"/>
      <c r="H668" s="18"/>
    </row>
    <row r="669" spans="1:9" x14ac:dyDescent="0.55000000000000004">
      <c r="A669" s="10" t="s">
        <v>50</v>
      </c>
      <c r="B669" s="9">
        <v>50</v>
      </c>
      <c r="C669" s="9">
        <v>58</v>
      </c>
      <c r="D669" s="28" t="s">
        <v>37</v>
      </c>
      <c r="E669" s="12">
        <v>3</v>
      </c>
      <c r="F669" s="9" t="s">
        <v>36</v>
      </c>
      <c r="G669" s="9"/>
      <c r="H669" s="16"/>
    </row>
    <row r="670" spans="1:9" x14ac:dyDescent="0.55000000000000004">
      <c r="A670" s="34" t="s">
        <v>51</v>
      </c>
      <c r="B670" s="12">
        <v>49</v>
      </c>
      <c r="C670" s="12">
        <v>60</v>
      </c>
      <c r="D670" s="28" t="s">
        <v>37</v>
      </c>
      <c r="E670" s="12">
        <v>3</v>
      </c>
      <c r="F670" s="12" t="s">
        <v>36</v>
      </c>
      <c r="G670" s="9"/>
      <c r="H670" s="18"/>
    </row>
    <row r="671" spans="1:9" ht="14.7" thickBot="1" x14ac:dyDescent="0.6">
      <c r="A671" s="35" t="s">
        <v>52</v>
      </c>
      <c r="B671" s="14">
        <v>53</v>
      </c>
      <c r="C671" s="14">
        <v>67</v>
      </c>
      <c r="D671" s="23" t="s">
        <v>37</v>
      </c>
      <c r="E671" s="14">
        <v>3</v>
      </c>
      <c r="F671" s="14" t="s">
        <v>36</v>
      </c>
      <c r="G671" s="14">
        <v>443.5</v>
      </c>
      <c r="H671" s="27">
        <f>Tabla2691617[[#This Row],[Total cluster weight (g)]]/COUNTA(A667:A671)</f>
        <v>88.7</v>
      </c>
    </row>
    <row r="672" spans="1:9" x14ac:dyDescent="0.55000000000000004">
      <c r="A672" s="11" t="s">
        <v>156</v>
      </c>
      <c r="B672" s="12">
        <v>48</v>
      </c>
      <c r="C672" s="12">
        <v>58</v>
      </c>
      <c r="D672" s="28" t="s">
        <v>37</v>
      </c>
      <c r="E672" s="12">
        <v>4</v>
      </c>
      <c r="F672" s="12" t="s">
        <v>35</v>
      </c>
      <c r="G672" s="12"/>
      <c r="H672" s="66"/>
      <c r="I672" t="s">
        <v>56</v>
      </c>
    </row>
    <row r="673" spans="1:8" x14ac:dyDescent="0.55000000000000004">
      <c r="A673" s="8" t="s">
        <v>64</v>
      </c>
      <c r="B673" s="9">
        <v>50</v>
      </c>
      <c r="C673" s="9">
        <v>66</v>
      </c>
      <c r="D673" s="21" t="s">
        <v>37</v>
      </c>
      <c r="E673" s="9">
        <v>4</v>
      </c>
      <c r="F673" s="9" t="s">
        <v>36</v>
      </c>
      <c r="G673" s="9"/>
      <c r="H673" s="5"/>
    </row>
    <row r="674" spans="1:8" x14ac:dyDescent="0.55000000000000004">
      <c r="A674" s="10" t="s">
        <v>157</v>
      </c>
      <c r="B674" s="9">
        <v>50</v>
      </c>
      <c r="C674" s="9">
        <v>63</v>
      </c>
      <c r="D674" s="21" t="s">
        <v>37</v>
      </c>
      <c r="E674" s="9">
        <v>4</v>
      </c>
      <c r="F674" s="9" t="s">
        <v>36</v>
      </c>
      <c r="G674" s="9"/>
      <c r="H674" s="5"/>
    </row>
    <row r="675" spans="1:8" x14ac:dyDescent="0.55000000000000004">
      <c r="A675" s="11" t="s">
        <v>66</v>
      </c>
      <c r="B675" s="12">
        <v>50</v>
      </c>
      <c r="C675" s="12">
        <v>65</v>
      </c>
      <c r="D675" s="21" t="s">
        <v>37</v>
      </c>
      <c r="E675" s="9">
        <v>4</v>
      </c>
      <c r="F675" s="9" t="s">
        <v>36</v>
      </c>
      <c r="G675" s="9"/>
      <c r="H675" s="30"/>
    </row>
    <row r="676" spans="1:8" ht="14.7" thickBot="1" x14ac:dyDescent="0.6">
      <c r="A676" s="13" t="s">
        <v>67</v>
      </c>
      <c r="B676" s="14">
        <v>50</v>
      </c>
      <c r="C676" s="14">
        <v>66</v>
      </c>
      <c r="D676" s="23" t="s">
        <v>37</v>
      </c>
      <c r="E676" s="14">
        <v>4</v>
      </c>
      <c r="F676" s="14" t="s">
        <v>36</v>
      </c>
      <c r="G676" s="14">
        <v>525.5</v>
      </c>
      <c r="H676" s="27">
        <f>Tabla2691617[[#This Row],[Total cluster weight (g)]]/COUNTA(A672:A676)</f>
        <v>105.1</v>
      </c>
    </row>
    <row r="677" spans="1:8" x14ac:dyDescent="0.55000000000000004">
      <c r="A677" s="6" t="s">
        <v>71</v>
      </c>
      <c r="B677" s="7">
        <v>47</v>
      </c>
      <c r="C677" s="7">
        <v>57</v>
      </c>
      <c r="D677" s="21" t="s">
        <v>37</v>
      </c>
      <c r="E677" s="9">
        <v>5</v>
      </c>
      <c r="F677" s="20" t="s">
        <v>35</v>
      </c>
      <c r="G677" s="9"/>
      <c r="H677" s="96"/>
    </row>
    <row r="678" spans="1:8" x14ac:dyDescent="0.55000000000000004">
      <c r="A678" s="8" t="s">
        <v>89</v>
      </c>
      <c r="B678" s="9">
        <v>50</v>
      </c>
      <c r="C678" s="9">
        <v>62</v>
      </c>
      <c r="D678" s="21" t="s">
        <v>37</v>
      </c>
      <c r="E678" s="9">
        <v>5</v>
      </c>
      <c r="F678" s="9" t="s">
        <v>36</v>
      </c>
      <c r="G678" s="9"/>
      <c r="H678" s="96"/>
    </row>
    <row r="679" spans="1:8" x14ac:dyDescent="0.55000000000000004">
      <c r="A679" s="10" t="s">
        <v>92</v>
      </c>
      <c r="B679" s="9">
        <v>50</v>
      </c>
      <c r="C679" s="9">
        <v>60</v>
      </c>
      <c r="D679" s="21" t="s">
        <v>37</v>
      </c>
      <c r="E679" s="9">
        <v>5</v>
      </c>
      <c r="F679" s="9" t="s">
        <v>36</v>
      </c>
      <c r="G679" s="9"/>
      <c r="H679" s="96"/>
    </row>
    <row r="680" spans="1:8" x14ac:dyDescent="0.55000000000000004">
      <c r="A680" s="11" t="s">
        <v>93</v>
      </c>
      <c r="B680" s="12">
        <v>51</v>
      </c>
      <c r="C680" s="12">
        <v>65</v>
      </c>
      <c r="D680" s="21" t="s">
        <v>37</v>
      </c>
      <c r="E680" s="9">
        <v>5</v>
      </c>
      <c r="F680" s="9" t="s">
        <v>36</v>
      </c>
      <c r="G680" s="9"/>
      <c r="H680" s="96"/>
    </row>
    <row r="681" spans="1:8" ht="14.7" thickBot="1" x14ac:dyDescent="0.6">
      <c r="A681" s="13" t="s">
        <v>94</v>
      </c>
      <c r="B681" s="14">
        <v>51</v>
      </c>
      <c r="C681" s="14">
        <v>64</v>
      </c>
      <c r="D681" s="23" t="s">
        <v>37</v>
      </c>
      <c r="E681" s="14">
        <v>5</v>
      </c>
      <c r="F681" s="22" t="s">
        <v>36</v>
      </c>
      <c r="G681" s="14">
        <v>486.5</v>
      </c>
      <c r="H681" s="27">
        <f>Tabla2691617[[#This Row],[Total cluster weight (g)]]/COUNTA(A677:A681)</f>
        <v>97.3</v>
      </c>
    </row>
    <row r="682" spans="1:8" x14ac:dyDescent="0.55000000000000004">
      <c r="A682" s="6" t="s">
        <v>95</v>
      </c>
      <c r="B682" s="7">
        <v>50</v>
      </c>
      <c r="C682" s="7">
        <v>59</v>
      </c>
      <c r="D682" s="21" t="s">
        <v>37</v>
      </c>
      <c r="E682" s="9">
        <v>6</v>
      </c>
      <c r="F682" s="9" t="s">
        <v>35</v>
      </c>
      <c r="G682" s="9"/>
      <c r="H682" s="96"/>
    </row>
    <row r="683" spans="1:8" x14ac:dyDescent="0.55000000000000004">
      <c r="A683" s="8" t="s">
        <v>144</v>
      </c>
      <c r="B683" s="9">
        <v>48</v>
      </c>
      <c r="C683" s="9">
        <v>56</v>
      </c>
      <c r="D683" s="21" t="s">
        <v>37</v>
      </c>
      <c r="E683" s="9">
        <v>6</v>
      </c>
      <c r="F683" s="9" t="s">
        <v>35</v>
      </c>
      <c r="G683" s="9"/>
      <c r="H683" s="96"/>
    </row>
    <row r="684" spans="1:8" x14ac:dyDescent="0.55000000000000004">
      <c r="A684" s="10" t="s">
        <v>150</v>
      </c>
      <c r="B684" s="9">
        <v>50</v>
      </c>
      <c r="C684" s="9">
        <v>59</v>
      </c>
      <c r="D684" s="21" t="s">
        <v>37</v>
      </c>
      <c r="E684" s="9">
        <v>6</v>
      </c>
      <c r="F684" s="9" t="s">
        <v>36</v>
      </c>
      <c r="G684" s="9"/>
      <c r="H684" s="96"/>
    </row>
    <row r="685" spans="1:8" x14ac:dyDescent="0.55000000000000004">
      <c r="A685" s="11" t="s">
        <v>151</v>
      </c>
      <c r="B685" s="12">
        <v>52</v>
      </c>
      <c r="C685" s="12">
        <v>66</v>
      </c>
      <c r="D685" s="21" t="s">
        <v>37</v>
      </c>
      <c r="E685" s="9">
        <v>6</v>
      </c>
      <c r="F685" s="9" t="s">
        <v>36</v>
      </c>
      <c r="G685" s="9"/>
      <c r="H685" s="96"/>
    </row>
    <row r="686" spans="1:8" ht="14.7" thickBot="1" x14ac:dyDescent="0.6">
      <c r="A686" s="13" t="s">
        <v>152</v>
      </c>
      <c r="B686" s="14">
        <v>48</v>
      </c>
      <c r="C686" s="14">
        <v>62</v>
      </c>
      <c r="D686" s="23" t="s">
        <v>37</v>
      </c>
      <c r="E686" s="14">
        <v>6</v>
      </c>
      <c r="F686" s="14" t="s">
        <v>36</v>
      </c>
      <c r="G686" s="14">
        <v>483</v>
      </c>
      <c r="H686" s="27">
        <f>Tabla2691617[[#This Row],[Total cluster weight (g)]]/COUNTA(A682:A686)</f>
        <v>96.6</v>
      </c>
    </row>
    <row r="687" spans="1:8" x14ac:dyDescent="0.55000000000000004">
      <c r="A687" s="34" t="s">
        <v>153</v>
      </c>
      <c r="B687" s="12">
        <v>48</v>
      </c>
      <c r="C687" s="12">
        <v>64</v>
      </c>
      <c r="D687" s="28" t="s">
        <v>37</v>
      </c>
      <c r="E687" s="12">
        <v>7</v>
      </c>
      <c r="F687" s="12" t="s">
        <v>60</v>
      </c>
      <c r="G687" s="12"/>
      <c r="H687" s="118"/>
    </row>
    <row r="688" spans="1:8" x14ac:dyDescent="0.55000000000000004">
      <c r="A688" s="10" t="s">
        <v>158</v>
      </c>
      <c r="B688" s="9">
        <v>51</v>
      </c>
      <c r="C688" s="9">
        <v>63</v>
      </c>
      <c r="D688" s="21" t="s">
        <v>37</v>
      </c>
      <c r="E688" s="9">
        <v>7</v>
      </c>
      <c r="F688" s="9" t="s">
        <v>35</v>
      </c>
      <c r="G688" s="9"/>
      <c r="H688" s="89"/>
    </row>
    <row r="689" spans="1:8" x14ac:dyDescent="0.55000000000000004">
      <c r="A689" s="10" t="s">
        <v>215</v>
      </c>
      <c r="B689" s="9">
        <v>48</v>
      </c>
      <c r="C689" s="9">
        <v>58</v>
      </c>
      <c r="D689" s="21" t="s">
        <v>37</v>
      </c>
      <c r="E689" s="9">
        <v>7</v>
      </c>
      <c r="F689" s="9" t="s">
        <v>36</v>
      </c>
      <c r="G689" s="9"/>
      <c r="H689" s="89"/>
    </row>
    <row r="690" spans="1:8" x14ac:dyDescent="0.55000000000000004">
      <c r="A690" s="10" t="s">
        <v>216</v>
      </c>
      <c r="B690" s="9">
        <v>52</v>
      </c>
      <c r="C690" s="9">
        <v>65</v>
      </c>
      <c r="D690" s="21" t="s">
        <v>37</v>
      </c>
      <c r="E690" s="9">
        <v>7</v>
      </c>
      <c r="F690" s="9" t="s">
        <v>36</v>
      </c>
      <c r="G690" s="9"/>
      <c r="H690" s="89"/>
    </row>
    <row r="691" spans="1:8" x14ac:dyDescent="0.55000000000000004">
      <c r="A691" s="10" t="s">
        <v>217</v>
      </c>
      <c r="B691" s="9">
        <v>53</v>
      </c>
      <c r="C691" s="9">
        <v>65</v>
      </c>
      <c r="D691" s="21" t="s">
        <v>37</v>
      </c>
      <c r="E691" s="9">
        <v>7</v>
      </c>
      <c r="F691" s="9" t="s">
        <v>36</v>
      </c>
      <c r="G691" s="9"/>
      <c r="H691" s="89"/>
    </row>
    <row r="692" spans="1:8" ht="14.7" thickBot="1" x14ac:dyDescent="0.6">
      <c r="A692" s="35" t="s">
        <v>218</v>
      </c>
      <c r="B692" s="14">
        <v>55</v>
      </c>
      <c r="C692" s="14">
        <v>71</v>
      </c>
      <c r="D692" s="23" t="s">
        <v>37</v>
      </c>
      <c r="E692" s="14">
        <v>7</v>
      </c>
      <c r="F692" s="14" t="s">
        <v>36</v>
      </c>
      <c r="G692" s="14">
        <v>699</v>
      </c>
      <c r="H692" s="102">
        <f>Tabla2691617[[#This Row],[Total cluster weight (g)]]/COUNTA(A687:A692)</f>
        <v>116.5</v>
      </c>
    </row>
    <row r="693" spans="1:8" x14ac:dyDescent="0.55000000000000004">
      <c r="A693" s="34" t="s">
        <v>219</v>
      </c>
      <c r="B693" s="12">
        <v>52</v>
      </c>
      <c r="C693" s="12">
        <v>63</v>
      </c>
      <c r="D693" s="28" t="s">
        <v>37</v>
      </c>
      <c r="E693" s="12">
        <v>8</v>
      </c>
      <c r="F693" s="12" t="s">
        <v>35</v>
      </c>
      <c r="G693" s="12"/>
      <c r="H693" s="93"/>
    </row>
    <row r="694" spans="1:8" x14ac:dyDescent="0.55000000000000004">
      <c r="A694" s="10" t="s">
        <v>222</v>
      </c>
      <c r="B694" s="9">
        <v>52</v>
      </c>
      <c r="C694" s="9">
        <v>66</v>
      </c>
      <c r="D694" s="21" t="s">
        <v>37</v>
      </c>
      <c r="E694" s="9">
        <v>8</v>
      </c>
      <c r="F694" s="9" t="s">
        <v>36</v>
      </c>
      <c r="G694" s="9"/>
      <c r="H694" s="88"/>
    </row>
    <row r="695" spans="1:8" x14ac:dyDescent="0.55000000000000004">
      <c r="A695" s="10" t="s">
        <v>223</v>
      </c>
      <c r="B695" s="9">
        <v>53</v>
      </c>
      <c r="C695" s="9">
        <v>65</v>
      </c>
      <c r="D695" s="21" t="s">
        <v>37</v>
      </c>
      <c r="E695" s="9">
        <v>8</v>
      </c>
      <c r="F695" s="9" t="s">
        <v>36</v>
      </c>
      <c r="G695" s="9"/>
      <c r="H695" s="88"/>
    </row>
    <row r="696" spans="1:8" x14ac:dyDescent="0.55000000000000004">
      <c r="A696" s="10" t="s">
        <v>232</v>
      </c>
      <c r="B696" s="9">
        <v>53</v>
      </c>
      <c r="C696" s="9">
        <v>66</v>
      </c>
      <c r="D696" s="21" t="s">
        <v>37</v>
      </c>
      <c r="E696" s="9">
        <v>8</v>
      </c>
      <c r="F696" s="9" t="s">
        <v>36</v>
      </c>
      <c r="G696" s="9"/>
      <c r="H696" s="88"/>
    </row>
    <row r="697" spans="1:8" ht="14.7" thickBot="1" x14ac:dyDescent="0.6">
      <c r="A697" s="35" t="s">
        <v>233</v>
      </c>
      <c r="B697" s="14">
        <v>53</v>
      </c>
      <c r="C697" s="14">
        <v>70</v>
      </c>
      <c r="D697" s="23" t="s">
        <v>37</v>
      </c>
      <c r="E697" s="14">
        <v>8</v>
      </c>
      <c r="F697" s="14" t="s">
        <v>36</v>
      </c>
      <c r="G697" s="14">
        <v>617</v>
      </c>
      <c r="H697" s="102">
        <f>Tabla2691617[[#This Row],[Total cluster weight (g)]]/COUNTA(A693:A697)</f>
        <v>123.4</v>
      </c>
    </row>
    <row r="698" spans="1:8" x14ac:dyDescent="0.55000000000000004">
      <c r="A698" s="6" t="s">
        <v>234</v>
      </c>
      <c r="B698" s="7">
        <v>49</v>
      </c>
      <c r="C698" s="7">
        <v>50</v>
      </c>
      <c r="D698" s="9" t="s">
        <v>37</v>
      </c>
      <c r="E698" s="9">
        <v>9</v>
      </c>
      <c r="F698" s="20" t="s">
        <v>36</v>
      </c>
      <c r="G698" s="9"/>
      <c r="H698" s="92"/>
    </row>
    <row r="699" spans="1:8" x14ac:dyDescent="0.55000000000000004">
      <c r="A699" s="8" t="s">
        <v>235</v>
      </c>
      <c r="B699" s="9">
        <v>50</v>
      </c>
      <c r="C699" s="9">
        <v>60</v>
      </c>
      <c r="D699" s="9" t="s">
        <v>37</v>
      </c>
      <c r="E699" s="9">
        <v>9</v>
      </c>
      <c r="F699" s="9" t="s">
        <v>36</v>
      </c>
      <c r="G699" s="9"/>
      <c r="H699" s="92"/>
    </row>
    <row r="700" spans="1:8" x14ac:dyDescent="0.55000000000000004">
      <c r="A700" s="10" t="s">
        <v>236</v>
      </c>
      <c r="B700" s="9">
        <v>52</v>
      </c>
      <c r="C700" s="9">
        <v>64</v>
      </c>
      <c r="D700" s="9" t="s">
        <v>37</v>
      </c>
      <c r="E700" s="9">
        <v>9</v>
      </c>
      <c r="F700" s="9" t="s">
        <v>36</v>
      </c>
      <c r="G700" s="9"/>
      <c r="H700" s="92"/>
    </row>
    <row r="701" spans="1:8" x14ac:dyDescent="0.55000000000000004">
      <c r="A701" s="11" t="s">
        <v>248</v>
      </c>
      <c r="B701" s="12">
        <v>52</v>
      </c>
      <c r="C701" s="12">
        <v>64</v>
      </c>
      <c r="D701" s="9" t="s">
        <v>37</v>
      </c>
      <c r="E701" s="9">
        <v>9</v>
      </c>
      <c r="F701" s="9" t="s">
        <v>36</v>
      </c>
      <c r="G701" s="9"/>
      <c r="H701" s="92"/>
    </row>
    <row r="702" spans="1:8" ht="14.7" thickBot="1" x14ac:dyDescent="0.6">
      <c r="A702" s="13" t="s">
        <v>249</v>
      </c>
      <c r="B702" s="14">
        <v>52</v>
      </c>
      <c r="C702" s="14">
        <v>61</v>
      </c>
      <c r="D702" s="14" t="s">
        <v>37</v>
      </c>
      <c r="E702" s="14">
        <v>9</v>
      </c>
      <c r="F702" s="22" t="s">
        <v>36</v>
      </c>
      <c r="G702" s="14">
        <v>534.5</v>
      </c>
      <c r="H702" s="112">
        <f>Tabla2691617[[#This Row],[Total cluster weight (g)]]/COUNTA(A698:A702)</f>
        <v>106.9</v>
      </c>
    </row>
    <row r="703" spans="1:8" x14ac:dyDescent="0.55000000000000004">
      <c r="A703" s="29"/>
      <c r="B703" s="30"/>
      <c r="C703" s="4"/>
      <c r="D703" s="31"/>
      <c r="E703" s="4"/>
      <c r="F703" s="4"/>
      <c r="G703" s="4"/>
    </row>
    <row r="704" spans="1:8" x14ac:dyDescent="0.55000000000000004">
      <c r="A704" s="59" t="s">
        <v>203</v>
      </c>
      <c r="B704" s="55" t="s">
        <v>162</v>
      </c>
      <c r="C704" s="55" t="s">
        <v>163</v>
      </c>
      <c r="D704" s="55" t="s">
        <v>164</v>
      </c>
      <c r="E704" s="55" t="s">
        <v>165</v>
      </c>
      <c r="F704" s="56" t="s">
        <v>189</v>
      </c>
      <c r="G704" s="110" t="s">
        <v>230</v>
      </c>
    </row>
    <row r="705" spans="1:9" x14ac:dyDescent="0.55000000000000004">
      <c r="A705" s="60" t="s">
        <v>166</v>
      </c>
      <c r="B705" s="57">
        <f>AVERAGE(Tabla2691617[Height (mm)])</f>
        <v>50.044444444444444</v>
      </c>
      <c r="C705" s="57">
        <f>AVERAGE(Tabla2691617[Width (mm)])</f>
        <v>62.93333333333333</v>
      </c>
      <c r="D705" s="57">
        <f>MAX(Tabla2691617[[Cluster number ]])</f>
        <v>9</v>
      </c>
      <c r="E705" s="57">
        <f>AVERAGE(Tabla2691617[Tomato average weight per cluster])</f>
        <v>107.02222222222221</v>
      </c>
      <c r="F705" s="58">
        <f>COUNTA(Tabla2691617["L14" PLANT])</f>
        <v>45</v>
      </c>
      <c r="G705" s="109">
        <f>SUM(Tabla2691617[Total cluster weight (g)])</f>
        <v>4821</v>
      </c>
    </row>
    <row r="707" spans="1:9" ht="14.7" thickBot="1" x14ac:dyDescent="0.6">
      <c r="A707" s="5" t="s">
        <v>115</v>
      </c>
      <c r="B707" t="s">
        <v>3</v>
      </c>
      <c r="C707" t="s">
        <v>4</v>
      </c>
      <c r="D707" t="s">
        <v>5</v>
      </c>
      <c r="E707" t="s">
        <v>6</v>
      </c>
      <c r="F707" t="s">
        <v>7</v>
      </c>
      <c r="G707" t="s">
        <v>8</v>
      </c>
      <c r="H707" s="52" t="s">
        <v>161</v>
      </c>
    </row>
    <row r="708" spans="1:9" x14ac:dyDescent="0.55000000000000004">
      <c r="A708" s="6" t="s">
        <v>9</v>
      </c>
      <c r="B708" s="9">
        <v>45</v>
      </c>
      <c r="C708" s="9">
        <v>59</v>
      </c>
      <c r="D708" s="21" t="s">
        <v>37</v>
      </c>
      <c r="E708" s="9">
        <v>1</v>
      </c>
      <c r="F708" s="9" t="s">
        <v>35</v>
      </c>
      <c r="G708" s="9"/>
      <c r="H708" s="66"/>
    </row>
    <row r="709" spans="1:9" x14ac:dyDescent="0.55000000000000004">
      <c r="A709" s="8" t="s">
        <v>10</v>
      </c>
      <c r="B709" s="9">
        <v>50</v>
      </c>
      <c r="C709" s="9">
        <v>61</v>
      </c>
      <c r="D709" s="21" t="s">
        <v>37</v>
      </c>
      <c r="E709" s="9">
        <v>1</v>
      </c>
      <c r="F709" s="9" t="s">
        <v>36</v>
      </c>
      <c r="G709" s="9"/>
      <c r="H709" s="16"/>
    </row>
    <row r="710" spans="1:9" x14ac:dyDescent="0.55000000000000004">
      <c r="A710" s="10" t="s">
        <v>11</v>
      </c>
      <c r="B710" s="9">
        <v>50</v>
      </c>
      <c r="C710" s="9">
        <v>64</v>
      </c>
      <c r="D710" s="21" t="s">
        <v>37</v>
      </c>
      <c r="E710" s="9">
        <v>1</v>
      </c>
      <c r="F710" s="9" t="s">
        <v>36</v>
      </c>
      <c r="G710" s="9"/>
      <c r="H710" s="18"/>
    </row>
    <row r="711" spans="1:9" ht="14.7" thickBot="1" x14ac:dyDescent="0.6">
      <c r="A711" s="11" t="s">
        <v>12</v>
      </c>
      <c r="B711" s="14">
        <v>48</v>
      </c>
      <c r="C711" s="14">
        <v>57</v>
      </c>
      <c r="D711" s="23" t="s">
        <v>37</v>
      </c>
      <c r="E711" s="14">
        <v>1</v>
      </c>
      <c r="F711" s="14" t="s">
        <v>36</v>
      </c>
      <c r="G711" s="14">
        <v>385</v>
      </c>
      <c r="H711" s="27">
        <f>Tabla2691618[[#This Row],[Total cluster weight (g)]]/COUNTA(A708:A711)</f>
        <v>96.25</v>
      </c>
    </row>
    <row r="712" spans="1:9" x14ac:dyDescent="0.55000000000000004">
      <c r="A712" s="6" t="s">
        <v>13</v>
      </c>
      <c r="B712" s="7">
        <v>43</v>
      </c>
      <c r="C712" s="7">
        <v>54</v>
      </c>
      <c r="D712" s="28" t="s">
        <v>37</v>
      </c>
      <c r="E712" s="9">
        <v>2</v>
      </c>
      <c r="F712" s="9" t="s">
        <v>35</v>
      </c>
      <c r="G712" s="9"/>
      <c r="H712" s="66"/>
    </row>
    <row r="713" spans="1:9" x14ac:dyDescent="0.55000000000000004">
      <c r="A713" s="10" t="s">
        <v>41</v>
      </c>
      <c r="B713" s="9">
        <v>43</v>
      </c>
      <c r="C713" s="9">
        <v>55</v>
      </c>
      <c r="D713" s="21" t="s">
        <v>37</v>
      </c>
      <c r="E713" s="9">
        <v>2</v>
      </c>
      <c r="F713" s="9" t="s">
        <v>35</v>
      </c>
      <c r="G713" s="9"/>
      <c r="H713" s="16"/>
    </row>
    <row r="714" spans="1:9" x14ac:dyDescent="0.55000000000000004">
      <c r="A714" s="10" t="s">
        <v>42</v>
      </c>
      <c r="B714" s="9">
        <v>44</v>
      </c>
      <c r="C714" s="9">
        <v>63</v>
      </c>
      <c r="D714" s="21" t="s">
        <v>37</v>
      </c>
      <c r="E714" s="9">
        <v>2</v>
      </c>
      <c r="F714" s="9" t="s">
        <v>36</v>
      </c>
      <c r="G714" s="9"/>
      <c r="H714" s="18"/>
    </row>
    <row r="715" spans="1:9" ht="14.7" thickBot="1" x14ac:dyDescent="0.6">
      <c r="A715" s="35" t="s">
        <v>124</v>
      </c>
      <c r="B715" s="14">
        <v>45</v>
      </c>
      <c r="C715" s="14">
        <v>64</v>
      </c>
      <c r="D715" s="23">
        <v>104.5</v>
      </c>
      <c r="E715" s="14">
        <v>2</v>
      </c>
      <c r="F715" s="14" t="s">
        <v>36</v>
      </c>
      <c r="G715" s="14">
        <v>341.5</v>
      </c>
      <c r="H715" s="72">
        <f>Tabla2691618[[#This Row],[Total cluster weight (g)]]/COUNTA(A712:A715)</f>
        <v>85.375</v>
      </c>
      <c r="I715" t="s">
        <v>38</v>
      </c>
    </row>
    <row r="716" spans="1:9" x14ac:dyDescent="0.55000000000000004">
      <c r="A716" s="6" t="s">
        <v>47</v>
      </c>
      <c r="B716" s="7">
        <v>50</v>
      </c>
      <c r="C716" s="7">
        <v>64</v>
      </c>
      <c r="D716" s="28" t="s">
        <v>37</v>
      </c>
      <c r="E716" s="12">
        <v>3</v>
      </c>
      <c r="F716" s="9" t="s">
        <v>35</v>
      </c>
      <c r="G716" s="9"/>
      <c r="H716" s="18"/>
    </row>
    <row r="717" spans="1:9" x14ac:dyDescent="0.55000000000000004">
      <c r="A717" s="10" t="s">
        <v>48</v>
      </c>
      <c r="B717" s="9">
        <v>48</v>
      </c>
      <c r="C717" s="9">
        <v>62</v>
      </c>
      <c r="D717" s="21">
        <v>95.5</v>
      </c>
      <c r="E717" s="12">
        <v>3</v>
      </c>
      <c r="F717" s="9" t="s">
        <v>35</v>
      </c>
      <c r="G717" s="9"/>
      <c r="H717" s="16"/>
    </row>
    <row r="718" spans="1:9" x14ac:dyDescent="0.55000000000000004">
      <c r="A718" s="10" t="s">
        <v>49</v>
      </c>
      <c r="B718" s="9">
        <v>50</v>
      </c>
      <c r="C718" s="9">
        <v>60</v>
      </c>
      <c r="D718" s="21" t="s">
        <v>37</v>
      </c>
      <c r="E718" s="12">
        <v>3</v>
      </c>
      <c r="F718" s="9" t="s">
        <v>36</v>
      </c>
      <c r="G718" s="9"/>
      <c r="H718" s="18"/>
    </row>
    <row r="719" spans="1:9" x14ac:dyDescent="0.55000000000000004">
      <c r="A719" s="34" t="s">
        <v>50</v>
      </c>
      <c r="B719" s="12">
        <v>45</v>
      </c>
      <c r="C719" s="12">
        <v>53</v>
      </c>
      <c r="D719" s="28" t="s">
        <v>37</v>
      </c>
      <c r="E719" s="12">
        <v>3</v>
      </c>
      <c r="F719" s="12" t="s">
        <v>36</v>
      </c>
      <c r="G719" s="12"/>
      <c r="H719" s="16"/>
    </row>
    <row r="720" spans="1:9" ht="14.7" thickBot="1" x14ac:dyDescent="0.6">
      <c r="A720" s="36" t="s">
        <v>51</v>
      </c>
      <c r="B720" s="20">
        <v>48</v>
      </c>
      <c r="C720" s="14">
        <v>64</v>
      </c>
      <c r="D720" s="23" t="s">
        <v>37</v>
      </c>
      <c r="E720" s="14">
        <v>3</v>
      </c>
      <c r="F720" s="14" t="s">
        <v>36</v>
      </c>
      <c r="G720" s="14">
        <v>468</v>
      </c>
      <c r="H720" s="27">
        <f>Tabla2691618[[#This Row],[Total cluster weight (g)]]/COUNTA(A716:A720)</f>
        <v>93.6</v>
      </c>
    </row>
    <row r="721" spans="1:9" x14ac:dyDescent="0.55000000000000004">
      <c r="A721" s="6" t="s">
        <v>87</v>
      </c>
      <c r="B721" s="7">
        <v>41</v>
      </c>
      <c r="C721" s="12">
        <v>51</v>
      </c>
      <c r="D721" s="28" t="s">
        <v>37</v>
      </c>
      <c r="E721" s="12">
        <v>4</v>
      </c>
      <c r="F721" s="12" t="s">
        <v>61</v>
      </c>
      <c r="G721" s="12"/>
      <c r="H721" s="68"/>
      <c r="I721" t="s">
        <v>56</v>
      </c>
    </row>
    <row r="722" spans="1:9" x14ac:dyDescent="0.55000000000000004">
      <c r="A722" s="8" t="s">
        <v>88</v>
      </c>
      <c r="B722" s="9">
        <v>45</v>
      </c>
      <c r="C722" s="9">
        <v>57</v>
      </c>
      <c r="D722" s="21" t="s">
        <v>37</v>
      </c>
      <c r="E722" s="9">
        <v>4</v>
      </c>
      <c r="F722" s="9" t="s">
        <v>35</v>
      </c>
      <c r="G722" s="9"/>
      <c r="H722" s="18"/>
    </row>
    <row r="723" spans="1:9" x14ac:dyDescent="0.55000000000000004">
      <c r="A723" s="10" t="s">
        <v>73</v>
      </c>
      <c r="B723" s="9">
        <v>48</v>
      </c>
      <c r="C723" s="9">
        <v>60</v>
      </c>
      <c r="D723" s="21" t="s">
        <v>37</v>
      </c>
      <c r="E723" s="9">
        <v>4</v>
      </c>
      <c r="F723" s="9" t="s">
        <v>36</v>
      </c>
      <c r="G723" s="9"/>
      <c r="H723" s="5"/>
    </row>
    <row r="724" spans="1:9" x14ac:dyDescent="0.55000000000000004">
      <c r="A724" s="11" t="s">
        <v>81</v>
      </c>
      <c r="B724" s="12">
        <v>43</v>
      </c>
      <c r="C724" s="12">
        <v>51</v>
      </c>
      <c r="D724" s="21" t="s">
        <v>37</v>
      </c>
      <c r="E724" s="9">
        <v>4</v>
      </c>
      <c r="F724" s="12" t="s">
        <v>35</v>
      </c>
      <c r="G724" s="9"/>
      <c r="H724" s="5"/>
    </row>
    <row r="725" spans="1:9" ht="14.7" thickBot="1" x14ac:dyDescent="0.6">
      <c r="A725" s="13" t="s">
        <v>66</v>
      </c>
      <c r="B725" s="14">
        <v>50</v>
      </c>
      <c r="C725" s="14">
        <v>60</v>
      </c>
      <c r="D725" s="23" t="s">
        <v>37</v>
      </c>
      <c r="E725" s="14">
        <v>4</v>
      </c>
      <c r="F725" s="14" t="s">
        <v>36</v>
      </c>
      <c r="G725" s="14">
        <v>378.5</v>
      </c>
      <c r="H725" s="27">
        <f>Tabla2691618[[#This Row],[Total cluster weight (g)]]/COUNTA(A721:A725)</f>
        <v>75.7</v>
      </c>
    </row>
    <row r="726" spans="1:9" x14ac:dyDescent="0.55000000000000004">
      <c r="A726" s="6" t="s">
        <v>67</v>
      </c>
      <c r="B726" s="7">
        <v>46</v>
      </c>
      <c r="C726" s="7">
        <v>57</v>
      </c>
      <c r="D726" s="21" t="s">
        <v>37</v>
      </c>
      <c r="E726" s="9">
        <v>5</v>
      </c>
      <c r="F726" s="9" t="s">
        <v>36</v>
      </c>
      <c r="G726" s="9"/>
      <c r="H726" s="96"/>
    </row>
    <row r="727" spans="1:9" x14ac:dyDescent="0.55000000000000004">
      <c r="A727" s="8" t="s">
        <v>71</v>
      </c>
      <c r="B727" s="9">
        <v>47</v>
      </c>
      <c r="C727" s="9">
        <v>56</v>
      </c>
      <c r="D727" s="21" t="s">
        <v>37</v>
      </c>
      <c r="E727" s="9">
        <v>5</v>
      </c>
      <c r="F727" s="9" t="s">
        <v>36</v>
      </c>
      <c r="G727" s="9"/>
      <c r="H727" s="96"/>
    </row>
    <row r="728" spans="1:9" x14ac:dyDescent="0.55000000000000004">
      <c r="A728" s="10" t="s">
        <v>89</v>
      </c>
      <c r="B728" s="9">
        <v>49</v>
      </c>
      <c r="C728" s="9">
        <v>59</v>
      </c>
      <c r="D728" s="21" t="s">
        <v>37</v>
      </c>
      <c r="E728" s="9">
        <v>5</v>
      </c>
      <c r="F728" s="9" t="s">
        <v>36</v>
      </c>
      <c r="G728" s="9"/>
      <c r="H728" s="96"/>
    </row>
    <row r="729" spans="1:9" x14ac:dyDescent="0.55000000000000004">
      <c r="A729" s="11" t="s">
        <v>92</v>
      </c>
      <c r="B729" s="12">
        <v>49</v>
      </c>
      <c r="C729" s="12">
        <v>60</v>
      </c>
      <c r="D729" s="21" t="s">
        <v>37</v>
      </c>
      <c r="E729" s="9">
        <v>5</v>
      </c>
      <c r="F729" s="9" t="s">
        <v>36</v>
      </c>
      <c r="G729" s="9"/>
      <c r="H729" s="96"/>
    </row>
    <row r="730" spans="1:9" ht="14.7" thickBot="1" x14ac:dyDescent="0.6">
      <c r="A730" s="13" t="s">
        <v>93</v>
      </c>
      <c r="B730" s="14">
        <v>50</v>
      </c>
      <c r="C730" s="14">
        <v>60</v>
      </c>
      <c r="D730" s="23" t="s">
        <v>37</v>
      </c>
      <c r="E730" s="14">
        <v>5</v>
      </c>
      <c r="F730" s="14" t="s">
        <v>36</v>
      </c>
      <c r="G730" s="14">
        <v>454.5</v>
      </c>
      <c r="H730" s="27">
        <f>Tabla2691618[[#This Row],[Total cluster weight (g)]]/COUNTA(A726:A730)</f>
        <v>90.9</v>
      </c>
    </row>
    <row r="731" spans="1:9" x14ac:dyDescent="0.55000000000000004">
      <c r="A731" s="34" t="s">
        <v>94</v>
      </c>
      <c r="B731" s="12">
        <v>47</v>
      </c>
      <c r="C731" s="12">
        <v>56</v>
      </c>
      <c r="D731" s="28" t="s">
        <v>37</v>
      </c>
      <c r="E731" s="12">
        <v>6</v>
      </c>
      <c r="F731" s="12" t="s">
        <v>68</v>
      </c>
      <c r="G731" s="12"/>
      <c r="H731" s="118"/>
    </row>
    <row r="732" spans="1:9" x14ac:dyDescent="0.55000000000000004">
      <c r="A732" s="10" t="s">
        <v>95</v>
      </c>
      <c r="B732" s="9">
        <v>52</v>
      </c>
      <c r="C732" s="9">
        <v>63</v>
      </c>
      <c r="D732" s="21" t="s">
        <v>37</v>
      </c>
      <c r="E732" s="9">
        <v>6</v>
      </c>
      <c r="F732" s="9" t="s">
        <v>36</v>
      </c>
      <c r="G732" s="9"/>
      <c r="H732" s="89"/>
    </row>
    <row r="733" spans="1:9" x14ac:dyDescent="0.55000000000000004">
      <c r="A733" s="10" t="s">
        <v>144</v>
      </c>
      <c r="B733" s="9">
        <v>53</v>
      </c>
      <c r="C733" s="9">
        <v>63</v>
      </c>
      <c r="D733" s="21" t="s">
        <v>37</v>
      </c>
      <c r="E733" s="9">
        <v>6</v>
      </c>
      <c r="F733" s="9" t="s">
        <v>36</v>
      </c>
      <c r="G733" s="9"/>
      <c r="H733" s="89"/>
    </row>
    <row r="734" spans="1:9" ht="14.7" thickBot="1" x14ac:dyDescent="0.6">
      <c r="A734" s="35" t="s">
        <v>150</v>
      </c>
      <c r="B734" s="14">
        <v>55</v>
      </c>
      <c r="C734" s="14">
        <v>67</v>
      </c>
      <c r="D734" s="23" t="s">
        <v>37</v>
      </c>
      <c r="E734" s="14">
        <v>6</v>
      </c>
      <c r="F734" s="14" t="s">
        <v>36</v>
      </c>
      <c r="G734" s="14">
        <v>445</v>
      </c>
      <c r="H734" s="116">
        <f>Tabla2691618[[#This Row],[Total cluster weight (g)]]/COUNTA(A731:A734)</f>
        <v>111.25</v>
      </c>
    </row>
    <row r="735" spans="1:9" x14ac:dyDescent="0.55000000000000004">
      <c r="A735" s="34" t="s">
        <v>151</v>
      </c>
      <c r="B735" s="12">
        <v>46</v>
      </c>
      <c r="C735" s="12">
        <v>56</v>
      </c>
      <c r="D735" s="28" t="s">
        <v>37</v>
      </c>
      <c r="E735" s="12">
        <v>7</v>
      </c>
      <c r="F735" s="12" t="s">
        <v>61</v>
      </c>
      <c r="G735" s="12"/>
      <c r="H735" s="118"/>
    </row>
    <row r="736" spans="1:9" x14ac:dyDescent="0.55000000000000004">
      <c r="A736" s="10" t="s">
        <v>152</v>
      </c>
      <c r="B736" s="9">
        <v>44</v>
      </c>
      <c r="C736" s="9">
        <v>54</v>
      </c>
      <c r="D736" s="21" t="s">
        <v>37</v>
      </c>
      <c r="E736" s="9">
        <v>7</v>
      </c>
      <c r="F736" s="9" t="s">
        <v>35</v>
      </c>
      <c r="G736" s="9"/>
      <c r="H736" s="89"/>
    </row>
    <row r="737" spans="1:9" x14ac:dyDescent="0.55000000000000004">
      <c r="A737" s="10" t="s">
        <v>153</v>
      </c>
      <c r="B737" s="9">
        <v>46</v>
      </c>
      <c r="C737" s="9">
        <v>61</v>
      </c>
      <c r="D737" s="21" t="s">
        <v>37</v>
      </c>
      <c r="E737" s="9">
        <v>7</v>
      </c>
      <c r="F737" s="9" t="s">
        <v>36</v>
      </c>
      <c r="G737" s="9"/>
      <c r="H737" s="89"/>
    </row>
    <row r="738" spans="1:9" x14ac:dyDescent="0.55000000000000004">
      <c r="A738" s="10" t="s">
        <v>158</v>
      </c>
      <c r="B738" s="9">
        <v>48</v>
      </c>
      <c r="C738" s="9">
        <v>62</v>
      </c>
      <c r="D738" s="21" t="s">
        <v>37</v>
      </c>
      <c r="E738" s="9">
        <v>7</v>
      </c>
      <c r="F738" s="9" t="s">
        <v>36</v>
      </c>
      <c r="G738" s="9"/>
      <c r="H738" s="89"/>
    </row>
    <row r="739" spans="1:9" x14ac:dyDescent="0.55000000000000004">
      <c r="A739" s="10" t="s">
        <v>215</v>
      </c>
      <c r="B739" s="9">
        <v>52</v>
      </c>
      <c r="C739" s="9">
        <v>64</v>
      </c>
      <c r="D739" s="21" t="s">
        <v>37</v>
      </c>
      <c r="E739" s="9">
        <v>7</v>
      </c>
      <c r="F739" s="9" t="s">
        <v>36</v>
      </c>
      <c r="G739" s="9"/>
      <c r="H739" s="89"/>
    </row>
    <row r="740" spans="1:9" ht="14.7" thickBot="1" x14ac:dyDescent="0.6">
      <c r="A740" s="35" t="s">
        <v>216</v>
      </c>
      <c r="B740" s="14">
        <v>54</v>
      </c>
      <c r="C740" s="14">
        <v>68</v>
      </c>
      <c r="D740" s="23" t="s">
        <v>37</v>
      </c>
      <c r="E740" s="14">
        <v>7</v>
      </c>
      <c r="F740" s="14" t="s">
        <v>36</v>
      </c>
      <c r="G740" s="14">
        <v>601</v>
      </c>
      <c r="H740" s="116">
        <f>Tabla2691618[[#This Row],[Total cluster weight (g)]]/COUNTA(A735:A740)</f>
        <v>100.16666666666667</v>
      </c>
    </row>
    <row r="741" spans="1:9" x14ac:dyDescent="0.55000000000000004">
      <c r="A741" s="6" t="s">
        <v>257</v>
      </c>
      <c r="B741" s="7">
        <v>45</v>
      </c>
      <c r="C741" s="7">
        <v>56</v>
      </c>
      <c r="D741" s="9" t="s">
        <v>37</v>
      </c>
      <c r="E741" s="9">
        <v>8</v>
      </c>
      <c r="F741" s="20" t="s">
        <v>61</v>
      </c>
      <c r="G741" s="9"/>
      <c r="H741" s="157"/>
      <c r="I741" t="s">
        <v>56</v>
      </c>
    </row>
    <row r="742" spans="1:9" x14ac:dyDescent="0.55000000000000004">
      <c r="A742" s="8" t="s">
        <v>258</v>
      </c>
      <c r="B742" s="9">
        <v>50</v>
      </c>
      <c r="C742" s="9">
        <v>60</v>
      </c>
      <c r="D742" s="9" t="s">
        <v>37</v>
      </c>
      <c r="E742" s="9">
        <v>8</v>
      </c>
      <c r="F742" s="9" t="s">
        <v>35</v>
      </c>
      <c r="G742" s="9"/>
      <c r="H742" s="157"/>
    </row>
    <row r="743" spans="1:9" x14ac:dyDescent="0.55000000000000004">
      <c r="A743" s="10" t="s">
        <v>259</v>
      </c>
      <c r="B743" s="9">
        <v>51</v>
      </c>
      <c r="C743" s="9">
        <v>65</v>
      </c>
      <c r="D743" s="9" t="s">
        <v>37</v>
      </c>
      <c r="E743" s="9">
        <v>8</v>
      </c>
      <c r="F743" s="9" t="s">
        <v>36</v>
      </c>
      <c r="G743" s="9"/>
      <c r="H743" s="157"/>
    </row>
    <row r="744" spans="1:9" x14ac:dyDescent="0.55000000000000004">
      <c r="A744" s="11" t="s">
        <v>222</v>
      </c>
      <c r="B744" s="12">
        <v>51</v>
      </c>
      <c r="C744" s="12">
        <v>65</v>
      </c>
      <c r="D744" s="9" t="s">
        <v>37</v>
      </c>
      <c r="E744" s="9">
        <v>8</v>
      </c>
      <c r="F744" s="9" t="s">
        <v>36</v>
      </c>
      <c r="G744" s="9"/>
      <c r="H744" s="157"/>
    </row>
    <row r="745" spans="1:9" x14ac:dyDescent="0.55000000000000004">
      <c r="A745" s="10" t="s">
        <v>223</v>
      </c>
      <c r="B745" s="9">
        <v>55</v>
      </c>
      <c r="C745" s="9">
        <v>66</v>
      </c>
      <c r="D745" s="9" t="s">
        <v>37</v>
      </c>
      <c r="E745" s="9">
        <v>8</v>
      </c>
      <c r="F745" s="9" t="s">
        <v>36</v>
      </c>
      <c r="G745" s="9"/>
      <c r="H745" s="157"/>
    </row>
    <row r="746" spans="1:9" ht="14.7" thickBot="1" x14ac:dyDescent="0.6">
      <c r="A746" s="13" t="s">
        <v>232</v>
      </c>
      <c r="B746" s="14">
        <v>52</v>
      </c>
      <c r="C746" s="14">
        <v>59</v>
      </c>
      <c r="D746" s="14" t="s">
        <v>37</v>
      </c>
      <c r="E746" s="14">
        <v>8</v>
      </c>
      <c r="F746" s="22" t="s">
        <v>36</v>
      </c>
      <c r="G746" s="14">
        <v>652.5</v>
      </c>
      <c r="H746" s="112">
        <f>Tabla2691618[[#This Row],[Total cluster weight (g)]]/COUNTA(A741:A746)</f>
        <v>108.75</v>
      </c>
    </row>
    <row r="747" spans="1:9" x14ac:dyDescent="0.55000000000000004">
      <c r="A747" s="29"/>
      <c r="B747" s="30"/>
      <c r="C747" s="4"/>
      <c r="D747" s="4"/>
      <c r="E747" s="4"/>
      <c r="F747" s="4"/>
      <c r="G747" s="4"/>
    </row>
    <row r="748" spans="1:9" x14ac:dyDescent="0.55000000000000004">
      <c r="A748" s="59" t="s">
        <v>204</v>
      </c>
      <c r="B748" s="55" t="s">
        <v>162</v>
      </c>
      <c r="C748" s="55" t="s">
        <v>163</v>
      </c>
      <c r="D748" s="55" t="s">
        <v>164</v>
      </c>
      <c r="E748" s="55" t="s">
        <v>165</v>
      </c>
      <c r="F748" s="56" t="s">
        <v>189</v>
      </c>
      <c r="G748" s="110" t="s">
        <v>230</v>
      </c>
    </row>
    <row r="749" spans="1:9" x14ac:dyDescent="0.55000000000000004">
      <c r="A749" s="60" t="s">
        <v>166</v>
      </c>
      <c r="B749" s="57">
        <f>AVERAGE(Tabla2691618[Height (mm)])</f>
        <v>48.153846153846153</v>
      </c>
      <c r="C749" s="57">
        <f>AVERAGE(Tabla2691618[Width (mm)])</f>
        <v>59.897435897435898</v>
      </c>
      <c r="D749" s="57">
        <f>MAX(Tabla2691618[[Cluster number ]])</f>
        <v>8</v>
      </c>
      <c r="E749" s="57">
        <f>AVERAGE(Tabla2691618[Tomato average weight per cluster])</f>
        <v>95.248958333333334</v>
      </c>
      <c r="F749" s="58">
        <f>COUNTA(Tabla2691618["L15" PLANT])</f>
        <v>39</v>
      </c>
      <c r="G749" s="109">
        <f>SUM(Tabla2691618[Total cluster weight (g)])</f>
        <v>3726</v>
      </c>
    </row>
    <row r="751" spans="1:9" ht="14.7" thickBot="1" x14ac:dyDescent="0.6">
      <c r="A751" s="5" t="s">
        <v>116</v>
      </c>
      <c r="B751" t="s">
        <v>3</v>
      </c>
      <c r="C751" t="s">
        <v>4</v>
      </c>
      <c r="D751" t="s">
        <v>5</v>
      </c>
      <c r="E751" t="s">
        <v>6</v>
      </c>
      <c r="F751" t="s">
        <v>7</v>
      </c>
      <c r="G751" t="s">
        <v>8</v>
      </c>
      <c r="H751" s="52" t="s">
        <v>161</v>
      </c>
    </row>
    <row r="752" spans="1:9" x14ac:dyDescent="0.55000000000000004">
      <c r="A752" s="6" t="s">
        <v>9</v>
      </c>
      <c r="B752" s="9">
        <v>49</v>
      </c>
      <c r="C752" s="9">
        <v>62</v>
      </c>
      <c r="D752" s="21" t="s">
        <v>37</v>
      </c>
      <c r="E752" s="9">
        <v>1</v>
      </c>
      <c r="F752" s="9" t="s">
        <v>36</v>
      </c>
      <c r="G752" s="9"/>
      <c r="H752" s="66"/>
    </row>
    <row r="753" spans="1:9" x14ac:dyDescent="0.55000000000000004">
      <c r="A753" s="8" t="s">
        <v>10</v>
      </c>
      <c r="B753" s="9">
        <v>50</v>
      </c>
      <c r="C753" s="9">
        <v>69</v>
      </c>
      <c r="D753" s="21" t="s">
        <v>37</v>
      </c>
      <c r="E753" s="9">
        <v>1</v>
      </c>
      <c r="F753" s="9" t="s">
        <v>36</v>
      </c>
      <c r="G753" s="9"/>
      <c r="H753" s="16"/>
    </row>
    <row r="754" spans="1:9" x14ac:dyDescent="0.55000000000000004">
      <c r="A754" s="10" t="s">
        <v>11</v>
      </c>
      <c r="B754" s="9">
        <v>49</v>
      </c>
      <c r="C754" s="9">
        <v>67</v>
      </c>
      <c r="D754" s="21" t="s">
        <v>37</v>
      </c>
      <c r="E754" s="9">
        <v>1</v>
      </c>
      <c r="F754" s="9" t="s">
        <v>36</v>
      </c>
      <c r="G754" s="9"/>
      <c r="H754" s="18"/>
    </row>
    <row r="755" spans="1:9" ht="14.7" thickBot="1" x14ac:dyDescent="0.6">
      <c r="A755" s="13" t="s">
        <v>12</v>
      </c>
      <c r="B755" s="14">
        <v>47</v>
      </c>
      <c r="C755" s="14">
        <v>62</v>
      </c>
      <c r="D755" s="23" t="s">
        <v>37</v>
      </c>
      <c r="E755" s="14">
        <v>1</v>
      </c>
      <c r="F755" s="14" t="s">
        <v>36</v>
      </c>
      <c r="G755" s="14">
        <v>455.5</v>
      </c>
      <c r="H755" s="27">
        <f>Tabla2691619[[#This Row],[Total cluster weight (g)]]/COUNTA(A752:A755)</f>
        <v>113.875</v>
      </c>
    </row>
    <row r="756" spans="1:9" x14ac:dyDescent="0.55000000000000004">
      <c r="A756" s="6" t="s">
        <v>13</v>
      </c>
      <c r="B756" s="7">
        <v>50</v>
      </c>
      <c r="C756" s="7">
        <v>58</v>
      </c>
      <c r="D756" s="21" t="s">
        <v>37</v>
      </c>
      <c r="E756" s="9">
        <v>2</v>
      </c>
      <c r="F756" s="9" t="s">
        <v>36</v>
      </c>
      <c r="G756" s="9"/>
      <c r="H756" s="66"/>
    </row>
    <row r="757" spans="1:9" x14ac:dyDescent="0.55000000000000004">
      <c r="A757" s="8" t="s">
        <v>41</v>
      </c>
      <c r="B757" s="9">
        <v>50</v>
      </c>
      <c r="C757" s="9">
        <v>61</v>
      </c>
      <c r="D757" s="21" t="s">
        <v>37</v>
      </c>
      <c r="E757" s="9">
        <v>2</v>
      </c>
      <c r="F757" s="9" t="s">
        <v>36</v>
      </c>
      <c r="G757" s="9"/>
      <c r="H757" s="16"/>
    </row>
    <row r="758" spans="1:9" x14ac:dyDescent="0.55000000000000004">
      <c r="A758" s="10" t="s">
        <v>42</v>
      </c>
      <c r="B758" s="9">
        <v>50</v>
      </c>
      <c r="C758" s="9">
        <v>60</v>
      </c>
      <c r="D758" s="21" t="s">
        <v>37</v>
      </c>
      <c r="E758" s="9">
        <v>2</v>
      </c>
      <c r="F758" s="9" t="s">
        <v>36</v>
      </c>
      <c r="G758" s="9"/>
      <c r="H758" s="18"/>
    </row>
    <row r="759" spans="1:9" x14ac:dyDescent="0.55000000000000004">
      <c r="A759" s="10" t="s">
        <v>43</v>
      </c>
      <c r="B759" s="9">
        <v>51</v>
      </c>
      <c r="C759" s="9">
        <v>62</v>
      </c>
      <c r="D759" s="21" t="s">
        <v>37</v>
      </c>
      <c r="E759" s="9">
        <v>2</v>
      </c>
      <c r="F759" s="9" t="s">
        <v>36</v>
      </c>
      <c r="G759" s="9"/>
      <c r="H759" s="16"/>
    </row>
    <row r="760" spans="1:9" ht="14.7" thickBot="1" x14ac:dyDescent="0.6">
      <c r="A760" s="35" t="s">
        <v>47</v>
      </c>
      <c r="B760" s="14">
        <v>50</v>
      </c>
      <c r="C760" s="14">
        <v>68</v>
      </c>
      <c r="D760" s="23" t="s">
        <v>37</v>
      </c>
      <c r="E760" s="14">
        <v>2</v>
      </c>
      <c r="F760" s="14" t="s">
        <v>36</v>
      </c>
      <c r="G760" s="14">
        <v>511.5</v>
      </c>
      <c r="H760" s="27">
        <f>Tabla2691619[[#This Row],[Total cluster weight (g)]]/COUNTA(A756:A760)</f>
        <v>102.3</v>
      </c>
    </row>
    <row r="761" spans="1:9" x14ac:dyDescent="0.55000000000000004">
      <c r="A761" s="6" t="s">
        <v>48</v>
      </c>
      <c r="B761" s="7">
        <v>52</v>
      </c>
      <c r="C761" s="7">
        <v>61</v>
      </c>
      <c r="D761" s="21" t="s">
        <v>37</v>
      </c>
      <c r="E761" s="9">
        <v>3</v>
      </c>
      <c r="F761" s="9" t="s">
        <v>36</v>
      </c>
      <c r="G761" s="9"/>
      <c r="H761" s="68"/>
    </row>
    <row r="762" spans="1:9" x14ac:dyDescent="0.55000000000000004">
      <c r="A762" s="8" t="s">
        <v>49</v>
      </c>
      <c r="B762" s="9">
        <v>53</v>
      </c>
      <c r="C762" s="9">
        <v>64</v>
      </c>
      <c r="D762" s="21" t="s">
        <v>37</v>
      </c>
      <c r="E762" s="9">
        <v>3</v>
      </c>
      <c r="F762" s="9" t="s">
        <v>36</v>
      </c>
      <c r="G762" s="9"/>
      <c r="H762" s="18"/>
    </row>
    <row r="763" spans="1:9" x14ac:dyDescent="0.55000000000000004">
      <c r="A763" s="10" t="s">
        <v>50</v>
      </c>
      <c r="B763" s="9">
        <v>52</v>
      </c>
      <c r="C763" s="9">
        <v>65</v>
      </c>
      <c r="D763" s="21" t="s">
        <v>37</v>
      </c>
      <c r="E763" s="9">
        <v>3</v>
      </c>
      <c r="F763" s="9" t="s">
        <v>36</v>
      </c>
      <c r="G763" s="9"/>
      <c r="H763" s="16"/>
    </row>
    <row r="764" spans="1:9" x14ac:dyDescent="0.55000000000000004">
      <c r="A764" s="11" t="s">
        <v>51</v>
      </c>
      <c r="B764" s="12">
        <v>53</v>
      </c>
      <c r="C764" s="12">
        <v>61</v>
      </c>
      <c r="D764" s="21" t="s">
        <v>37</v>
      </c>
      <c r="E764" s="9">
        <v>3</v>
      </c>
      <c r="F764" s="9" t="s">
        <v>36</v>
      </c>
      <c r="G764" s="9"/>
      <c r="H764" s="18"/>
    </row>
    <row r="765" spans="1:9" ht="14.7" thickBot="1" x14ac:dyDescent="0.6">
      <c r="A765" s="13" t="s">
        <v>52</v>
      </c>
      <c r="B765" s="14">
        <v>54</v>
      </c>
      <c r="C765" s="14">
        <v>66</v>
      </c>
      <c r="D765" s="23" t="s">
        <v>37</v>
      </c>
      <c r="E765" s="14">
        <v>3</v>
      </c>
      <c r="F765" s="14" t="s">
        <v>36</v>
      </c>
      <c r="G765" s="14">
        <v>558</v>
      </c>
      <c r="H765" s="27">
        <f>Tabla2691619[[#This Row],[Total cluster weight (g)]]/COUNTA(A761:A765)</f>
        <v>111.6</v>
      </c>
    </row>
    <row r="766" spans="1:9" x14ac:dyDescent="0.55000000000000004">
      <c r="A766" s="11" t="s">
        <v>63</v>
      </c>
      <c r="B766" s="12">
        <v>49</v>
      </c>
      <c r="C766" s="12">
        <v>61</v>
      </c>
      <c r="D766" s="28" t="s">
        <v>37</v>
      </c>
      <c r="E766" s="12">
        <v>4</v>
      </c>
      <c r="F766" s="12" t="s">
        <v>35</v>
      </c>
      <c r="G766" s="12"/>
      <c r="H766" s="66"/>
      <c r="I766" t="s">
        <v>56</v>
      </c>
    </row>
    <row r="767" spans="1:9" x14ac:dyDescent="0.55000000000000004">
      <c r="A767" s="8" t="s">
        <v>73</v>
      </c>
      <c r="B767" s="9">
        <v>53</v>
      </c>
      <c r="C767" s="9">
        <v>61</v>
      </c>
      <c r="D767" s="21" t="s">
        <v>37</v>
      </c>
      <c r="E767" s="9">
        <v>4</v>
      </c>
      <c r="F767" s="9" t="s">
        <v>35</v>
      </c>
      <c r="G767" s="9"/>
      <c r="H767" s="5"/>
    </row>
    <row r="768" spans="1:9" x14ac:dyDescent="0.55000000000000004">
      <c r="A768" s="10" t="s">
        <v>74</v>
      </c>
      <c r="B768" s="9">
        <v>54</v>
      </c>
      <c r="C768" s="9">
        <v>66</v>
      </c>
      <c r="D768" s="21" t="s">
        <v>37</v>
      </c>
      <c r="E768" s="9">
        <v>4</v>
      </c>
      <c r="F768" s="9" t="s">
        <v>35</v>
      </c>
      <c r="G768" s="9"/>
      <c r="H768" s="5"/>
    </row>
    <row r="769" spans="1:8" x14ac:dyDescent="0.55000000000000004">
      <c r="A769" s="11" t="s">
        <v>66</v>
      </c>
      <c r="B769" s="12">
        <v>55</v>
      </c>
      <c r="C769" s="12">
        <v>66</v>
      </c>
      <c r="D769" s="21" t="s">
        <v>37</v>
      </c>
      <c r="E769" s="9">
        <v>4</v>
      </c>
      <c r="F769" s="12" t="s">
        <v>36</v>
      </c>
      <c r="G769" s="9"/>
      <c r="H769" s="5"/>
    </row>
    <row r="770" spans="1:8" ht="14.7" thickBot="1" x14ac:dyDescent="0.6">
      <c r="A770" s="13" t="s">
        <v>67</v>
      </c>
      <c r="B770" s="14">
        <v>52</v>
      </c>
      <c r="C770" s="14">
        <v>66</v>
      </c>
      <c r="D770" s="23" t="s">
        <v>37</v>
      </c>
      <c r="E770" s="14">
        <v>4</v>
      </c>
      <c r="F770" s="14" t="s">
        <v>36</v>
      </c>
      <c r="G770" s="14">
        <v>555.5</v>
      </c>
      <c r="H770" s="27">
        <f>Tabla2691619[[#This Row],[Total cluster weight (g)]]/COUNTA(A766:A770)</f>
        <v>111.1</v>
      </c>
    </row>
    <row r="771" spans="1:8" x14ac:dyDescent="0.55000000000000004">
      <c r="A771" s="11" t="s">
        <v>71</v>
      </c>
      <c r="B771" s="12">
        <v>51</v>
      </c>
      <c r="C771" s="12">
        <v>61</v>
      </c>
      <c r="D771" s="28" t="s">
        <v>37</v>
      </c>
      <c r="E771" s="12">
        <v>5</v>
      </c>
      <c r="F771" s="12" t="s">
        <v>68</v>
      </c>
      <c r="G771" s="12"/>
      <c r="H771" s="5"/>
    </row>
    <row r="772" spans="1:8" x14ac:dyDescent="0.55000000000000004">
      <c r="A772" s="8" t="s">
        <v>89</v>
      </c>
      <c r="B772" s="9">
        <v>51</v>
      </c>
      <c r="C772" s="9">
        <v>61</v>
      </c>
      <c r="D772" s="21" t="s">
        <v>37</v>
      </c>
      <c r="E772" s="9">
        <v>5</v>
      </c>
      <c r="F772" s="9" t="s">
        <v>35</v>
      </c>
      <c r="G772" s="9"/>
      <c r="H772" s="5"/>
    </row>
    <row r="773" spans="1:8" x14ac:dyDescent="0.55000000000000004">
      <c r="A773" s="10" t="s">
        <v>92</v>
      </c>
      <c r="B773" s="9">
        <v>53</v>
      </c>
      <c r="C773" s="9">
        <v>61</v>
      </c>
      <c r="D773" s="21" t="s">
        <v>37</v>
      </c>
      <c r="E773" s="9">
        <v>5</v>
      </c>
      <c r="F773" s="9" t="s">
        <v>36</v>
      </c>
      <c r="G773" s="9"/>
      <c r="H773" s="5"/>
    </row>
    <row r="774" spans="1:8" x14ac:dyDescent="0.55000000000000004">
      <c r="A774" s="11" t="s">
        <v>93</v>
      </c>
      <c r="B774" s="12">
        <v>52</v>
      </c>
      <c r="C774" s="12">
        <v>59</v>
      </c>
      <c r="D774" s="21" t="s">
        <v>37</v>
      </c>
      <c r="E774" s="9">
        <v>5</v>
      </c>
      <c r="F774" s="9" t="s">
        <v>36</v>
      </c>
      <c r="G774" s="9"/>
      <c r="H774" s="80"/>
    </row>
    <row r="775" spans="1:8" ht="14.7" thickBot="1" x14ac:dyDescent="0.6">
      <c r="A775" s="13" t="s">
        <v>94</v>
      </c>
      <c r="B775" s="14">
        <v>55</v>
      </c>
      <c r="C775" s="14">
        <v>65</v>
      </c>
      <c r="D775" s="23" t="s">
        <v>37</v>
      </c>
      <c r="E775" s="14">
        <v>5</v>
      </c>
      <c r="F775" s="14" t="s">
        <v>36</v>
      </c>
      <c r="G775" s="14">
        <v>528</v>
      </c>
      <c r="H775" s="27">
        <f>Tabla2691619[[#This Row],[Total cluster weight (g)]]/COUNTA(A771:A775)</f>
        <v>105.6</v>
      </c>
    </row>
    <row r="776" spans="1:8" x14ac:dyDescent="0.55000000000000004">
      <c r="A776" s="6" t="s">
        <v>95</v>
      </c>
      <c r="B776" s="7">
        <v>48</v>
      </c>
      <c r="C776" s="7">
        <v>61</v>
      </c>
      <c r="D776" s="21" t="s">
        <v>37</v>
      </c>
      <c r="E776" s="9">
        <v>6</v>
      </c>
      <c r="F776" s="9" t="s">
        <v>35</v>
      </c>
      <c r="G776" s="9"/>
      <c r="H776" s="96"/>
    </row>
    <row r="777" spans="1:8" x14ac:dyDescent="0.55000000000000004">
      <c r="A777" s="8" t="s">
        <v>144</v>
      </c>
      <c r="B777" s="9">
        <v>49</v>
      </c>
      <c r="C777" s="9">
        <v>56</v>
      </c>
      <c r="D777" s="21" t="s">
        <v>37</v>
      </c>
      <c r="E777" s="9">
        <v>6</v>
      </c>
      <c r="F777" s="9" t="s">
        <v>36</v>
      </c>
      <c r="G777" s="9"/>
      <c r="H777" s="96"/>
    </row>
    <row r="778" spans="1:8" x14ac:dyDescent="0.55000000000000004">
      <c r="A778" s="10" t="s">
        <v>150</v>
      </c>
      <c r="B778" s="9">
        <v>48</v>
      </c>
      <c r="C778" s="9">
        <v>58</v>
      </c>
      <c r="D778" s="21" t="s">
        <v>37</v>
      </c>
      <c r="E778" s="9">
        <v>6</v>
      </c>
      <c r="F778" s="9" t="s">
        <v>36</v>
      </c>
      <c r="G778" s="9"/>
      <c r="H778" s="96"/>
    </row>
    <row r="779" spans="1:8" x14ac:dyDescent="0.55000000000000004">
      <c r="A779" s="11" t="s">
        <v>151</v>
      </c>
      <c r="B779" s="12">
        <v>50</v>
      </c>
      <c r="C779" s="12">
        <v>62</v>
      </c>
      <c r="D779" s="21" t="s">
        <v>37</v>
      </c>
      <c r="E779" s="9">
        <v>6</v>
      </c>
      <c r="F779" s="9" t="s">
        <v>36</v>
      </c>
      <c r="G779" s="9"/>
      <c r="H779" s="96"/>
    </row>
    <row r="780" spans="1:8" ht="14.7" thickBot="1" x14ac:dyDescent="0.6">
      <c r="A780" s="13" t="s">
        <v>152</v>
      </c>
      <c r="B780" s="14">
        <v>49</v>
      </c>
      <c r="C780" s="14">
        <v>61</v>
      </c>
      <c r="D780" s="23" t="s">
        <v>37</v>
      </c>
      <c r="E780" s="14">
        <v>6</v>
      </c>
      <c r="F780" s="14" t="s">
        <v>36</v>
      </c>
      <c r="G780" s="14">
        <v>472.5</v>
      </c>
      <c r="H780" s="27">
        <f>Tabla2691619[[#This Row],[Total cluster weight (g)]]/COUNTA(A776:A780)</f>
        <v>94.5</v>
      </c>
    </row>
    <row r="781" spans="1:8" x14ac:dyDescent="0.55000000000000004">
      <c r="A781" s="34" t="s">
        <v>153</v>
      </c>
      <c r="B781" s="12">
        <v>45</v>
      </c>
      <c r="C781" s="12">
        <v>56</v>
      </c>
      <c r="D781" s="28" t="s">
        <v>37</v>
      </c>
      <c r="E781" s="12">
        <v>7</v>
      </c>
      <c r="F781" s="12" t="s">
        <v>35</v>
      </c>
      <c r="G781" s="12"/>
      <c r="H781" s="118"/>
    </row>
    <row r="782" spans="1:8" x14ac:dyDescent="0.55000000000000004">
      <c r="A782" s="10" t="s">
        <v>158</v>
      </c>
      <c r="B782" s="9">
        <v>47</v>
      </c>
      <c r="C782" s="9">
        <v>59</v>
      </c>
      <c r="D782" s="21" t="s">
        <v>37</v>
      </c>
      <c r="E782" s="9">
        <v>7</v>
      </c>
      <c r="F782" s="9" t="s">
        <v>36</v>
      </c>
      <c r="G782" s="9"/>
      <c r="H782" s="89"/>
    </row>
    <row r="783" spans="1:8" x14ac:dyDescent="0.55000000000000004">
      <c r="A783" s="10" t="s">
        <v>215</v>
      </c>
      <c r="B783" s="9">
        <v>49</v>
      </c>
      <c r="C783" s="9">
        <v>59</v>
      </c>
      <c r="D783" s="21" t="s">
        <v>37</v>
      </c>
      <c r="E783" s="9">
        <v>7</v>
      </c>
      <c r="F783" s="9" t="s">
        <v>36</v>
      </c>
      <c r="G783" s="9"/>
      <c r="H783" s="89"/>
    </row>
    <row r="784" spans="1:8" x14ac:dyDescent="0.55000000000000004">
      <c r="A784" s="10" t="s">
        <v>216</v>
      </c>
      <c r="B784" s="9">
        <v>49</v>
      </c>
      <c r="C784" s="9">
        <v>58</v>
      </c>
      <c r="D784" s="21" t="s">
        <v>37</v>
      </c>
      <c r="E784" s="9">
        <v>7</v>
      </c>
      <c r="F784" s="9" t="s">
        <v>36</v>
      </c>
      <c r="G784" s="9"/>
      <c r="H784" s="89"/>
    </row>
    <row r="785" spans="1:8" x14ac:dyDescent="0.55000000000000004">
      <c r="A785" s="10" t="s">
        <v>217</v>
      </c>
      <c r="B785" s="9">
        <v>52</v>
      </c>
      <c r="C785" s="9">
        <v>62</v>
      </c>
      <c r="D785" s="21" t="s">
        <v>37</v>
      </c>
      <c r="E785" s="9">
        <v>7</v>
      </c>
      <c r="F785" s="9" t="s">
        <v>36</v>
      </c>
      <c r="G785" s="9"/>
      <c r="H785" s="89"/>
    </row>
    <row r="786" spans="1:8" ht="14.7" thickBot="1" x14ac:dyDescent="0.6">
      <c r="A786" s="35" t="s">
        <v>218</v>
      </c>
      <c r="B786" s="14">
        <v>51</v>
      </c>
      <c r="C786" s="14">
        <v>61</v>
      </c>
      <c r="D786" s="23" t="s">
        <v>37</v>
      </c>
      <c r="E786" s="14">
        <v>7</v>
      </c>
      <c r="F786" s="14" t="s">
        <v>36</v>
      </c>
      <c r="G786" s="14">
        <v>549.5</v>
      </c>
      <c r="H786" s="116">
        <f>Tabla2691619[[#This Row],[Total cluster weight (g)]]/COUNTA(A781:A786)</f>
        <v>91.583333333333329</v>
      </c>
    </row>
    <row r="787" spans="1:8" x14ac:dyDescent="0.55000000000000004">
      <c r="A787" s="34" t="s">
        <v>219</v>
      </c>
      <c r="B787" s="12">
        <v>44</v>
      </c>
      <c r="C787" s="12">
        <v>57</v>
      </c>
      <c r="D787" s="28" t="s">
        <v>37</v>
      </c>
      <c r="E787" s="12">
        <v>8</v>
      </c>
      <c r="F787" s="12" t="s">
        <v>68</v>
      </c>
      <c r="G787" s="12"/>
      <c r="H787" s="118"/>
    </row>
    <row r="788" spans="1:8" x14ac:dyDescent="0.55000000000000004">
      <c r="A788" s="10" t="s">
        <v>222</v>
      </c>
      <c r="B788" s="9">
        <v>49</v>
      </c>
      <c r="C788" s="9">
        <v>61</v>
      </c>
      <c r="D788" s="21" t="s">
        <v>37</v>
      </c>
      <c r="E788" s="9">
        <v>8</v>
      </c>
      <c r="F788" s="9" t="s">
        <v>35</v>
      </c>
      <c r="G788" s="9"/>
      <c r="H788" s="89"/>
    </row>
    <row r="789" spans="1:8" x14ac:dyDescent="0.55000000000000004">
      <c r="A789" s="10" t="s">
        <v>223</v>
      </c>
      <c r="B789" s="9">
        <v>50</v>
      </c>
      <c r="C789" s="9">
        <v>63</v>
      </c>
      <c r="D789" s="21" t="s">
        <v>37</v>
      </c>
      <c r="E789" s="9">
        <v>8</v>
      </c>
      <c r="F789" s="9" t="s">
        <v>36</v>
      </c>
      <c r="G789" s="9"/>
      <c r="H789" s="89"/>
    </row>
    <row r="790" spans="1:8" x14ac:dyDescent="0.55000000000000004">
      <c r="A790" s="10" t="s">
        <v>232</v>
      </c>
      <c r="B790" s="9">
        <v>50</v>
      </c>
      <c r="C790" s="9">
        <v>63</v>
      </c>
      <c r="D790" s="21" t="s">
        <v>37</v>
      </c>
      <c r="E790" s="9">
        <v>8</v>
      </c>
      <c r="F790" s="9" t="s">
        <v>36</v>
      </c>
      <c r="G790" s="9"/>
      <c r="H790" s="89"/>
    </row>
    <row r="791" spans="1:8" ht="14.7" thickBot="1" x14ac:dyDescent="0.6">
      <c r="A791" s="35" t="s">
        <v>233</v>
      </c>
      <c r="B791" s="14">
        <v>50</v>
      </c>
      <c r="C791" s="14">
        <v>66</v>
      </c>
      <c r="D791" s="23" t="s">
        <v>37</v>
      </c>
      <c r="E791" s="14">
        <v>8</v>
      </c>
      <c r="F791" s="14" t="s">
        <v>36</v>
      </c>
      <c r="G791" s="14">
        <v>506</v>
      </c>
      <c r="H791" s="116">
        <f>Tabla2691619[[#This Row],[Total cluster weight (g)]]/COUNTA(A787:A791)</f>
        <v>101.2</v>
      </c>
    </row>
    <row r="792" spans="1:8" x14ac:dyDescent="0.55000000000000004">
      <c r="A792" s="34" t="s">
        <v>234</v>
      </c>
      <c r="B792" s="12">
        <v>52</v>
      </c>
      <c r="C792" s="12">
        <v>61</v>
      </c>
      <c r="D792" s="28" t="s">
        <v>37</v>
      </c>
      <c r="E792" s="12">
        <v>9</v>
      </c>
      <c r="F792" s="12" t="s">
        <v>35</v>
      </c>
      <c r="G792" s="12"/>
      <c r="H792" s="118"/>
    </row>
    <row r="793" spans="1:8" x14ac:dyDescent="0.55000000000000004">
      <c r="A793" s="10" t="s">
        <v>235</v>
      </c>
      <c r="B793" s="9">
        <v>52</v>
      </c>
      <c r="C793" s="9">
        <v>65</v>
      </c>
      <c r="D793" s="21" t="s">
        <v>37</v>
      </c>
      <c r="E793" s="9">
        <v>9</v>
      </c>
      <c r="F793" s="9" t="s">
        <v>36</v>
      </c>
      <c r="G793" s="9"/>
      <c r="H793" s="89"/>
    </row>
    <row r="794" spans="1:8" x14ac:dyDescent="0.55000000000000004">
      <c r="A794" s="10" t="s">
        <v>236</v>
      </c>
      <c r="B794" s="9">
        <v>53</v>
      </c>
      <c r="C794" s="9">
        <v>63</v>
      </c>
      <c r="D794" s="21" t="s">
        <v>37</v>
      </c>
      <c r="E794" s="9">
        <v>9</v>
      </c>
      <c r="F794" s="9" t="s">
        <v>36</v>
      </c>
      <c r="G794" s="9"/>
      <c r="H794" s="89"/>
    </row>
    <row r="795" spans="1:8" x14ac:dyDescent="0.55000000000000004">
      <c r="A795" s="10" t="s">
        <v>248</v>
      </c>
      <c r="B795" s="9">
        <v>54</v>
      </c>
      <c r="C795" s="9">
        <v>65</v>
      </c>
      <c r="D795" s="21" t="s">
        <v>37</v>
      </c>
      <c r="E795" s="9">
        <v>9</v>
      </c>
      <c r="F795" s="9" t="s">
        <v>36</v>
      </c>
      <c r="G795" s="9"/>
      <c r="H795" s="89"/>
    </row>
    <row r="796" spans="1:8" x14ac:dyDescent="0.55000000000000004">
      <c r="A796" s="10" t="s">
        <v>249</v>
      </c>
      <c r="B796" s="9">
        <v>54</v>
      </c>
      <c r="C796" s="9">
        <v>65</v>
      </c>
      <c r="D796" s="21" t="s">
        <v>37</v>
      </c>
      <c r="E796" s="9">
        <v>9</v>
      </c>
      <c r="F796" s="9" t="s">
        <v>36</v>
      </c>
      <c r="G796" s="9"/>
      <c r="H796" s="89"/>
    </row>
    <row r="797" spans="1:8" ht="14.7" thickBot="1" x14ac:dyDescent="0.6">
      <c r="A797" s="35" t="s">
        <v>250</v>
      </c>
      <c r="B797" s="14">
        <v>55</v>
      </c>
      <c r="C797" s="14">
        <v>69</v>
      </c>
      <c r="D797" s="23" t="s">
        <v>37</v>
      </c>
      <c r="E797" s="14">
        <v>9</v>
      </c>
      <c r="F797" s="14" t="s">
        <v>36</v>
      </c>
      <c r="G797" s="14">
        <v>728</v>
      </c>
      <c r="H797" s="116">
        <f>Tabla2691619[[#This Row],[Total cluster weight (g)]]/COUNTA(A792:A797)</f>
        <v>121.33333333333333</v>
      </c>
    </row>
    <row r="798" spans="1:8" x14ac:dyDescent="0.55000000000000004">
      <c r="A798" s="6" t="s">
        <v>255</v>
      </c>
      <c r="B798" s="7">
        <v>55</v>
      </c>
      <c r="C798" s="7">
        <v>61</v>
      </c>
      <c r="D798" s="9" t="s">
        <v>37</v>
      </c>
      <c r="E798" s="9">
        <v>10</v>
      </c>
      <c r="F798" s="20" t="s">
        <v>36</v>
      </c>
      <c r="G798" s="9"/>
      <c r="H798" s="96"/>
    </row>
    <row r="799" spans="1:8" x14ac:dyDescent="0.55000000000000004">
      <c r="A799" s="8" t="s">
        <v>256</v>
      </c>
      <c r="B799" s="9">
        <v>57</v>
      </c>
      <c r="C799" s="9">
        <v>65</v>
      </c>
      <c r="D799" s="9" t="s">
        <v>37</v>
      </c>
      <c r="E799" s="9">
        <v>10</v>
      </c>
      <c r="F799" s="9" t="s">
        <v>36</v>
      </c>
      <c r="G799" s="9"/>
      <c r="H799" s="96"/>
    </row>
    <row r="800" spans="1:8" x14ac:dyDescent="0.55000000000000004">
      <c r="A800" s="10" t="s">
        <v>260</v>
      </c>
      <c r="B800" s="9">
        <v>56</v>
      </c>
      <c r="C800" s="9">
        <v>63</v>
      </c>
      <c r="D800" s="9" t="s">
        <v>37</v>
      </c>
      <c r="E800" s="9">
        <v>10</v>
      </c>
      <c r="F800" s="9" t="s">
        <v>36</v>
      </c>
      <c r="G800" s="9"/>
      <c r="H800" s="96"/>
    </row>
    <row r="801" spans="1:9" ht="14.7" thickBot="1" x14ac:dyDescent="0.6">
      <c r="A801" s="13" t="s">
        <v>267</v>
      </c>
      <c r="B801" s="14">
        <v>51</v>
      </c>
      <c r="C801" s="14">
        <v>60</v>
      </c>
      <c r="D801" s="14" t="s">
        <v>37</v>
      </c>
      <c r="E801" s="14">
        <v>10</v>
      </c>
      <c r="F801" s="22" t="s">
        <v>36</v>
      </c>
      <c r="G801" s="14">
        <v>588</v>
      </c>
      <c r="H801" s="135">
        <f>Tabla2691619[[#This Row],[Total cluster weight (g)]]/COUNTA(A798:A801)</f>
        <v>147</v>
      </c>
    </row>
    <row r="802" spans="1:9" x14ac:dyDescent="0.55000000000000004">
      <c r="A802" s="6" t="s">
        <v>295</v>
      </c>
      <c r="B802" s="7">
        <v>54</v>
      </c>
      <c r="C802" s="7">
        <v>63</v>
      </c>
      <c r="D802" s="9" t="s">
        <v>37</v>
      </c>
      <c r="E802" s="9">
        <v>11</v>
      </c>
      <c r="F802" s="20" t="s">
        <v>35</v>
      </c>
      <c r="G802" s="9"/>
      <c r="H802" s="96"/>
      <c r="I802" t="s">
        <v>56</v>
      </c>
    </row>
    <row r="803" spans="1:9" x14ac:dyDescent="0.55000000000000004">
      <c r="A803" s="8" t="s">
        <v>296</v>
      </c>
      <c r="B803" s="9">
        <v>57</v>
      </c>
      <c r="C803" s="9">
        <v>64</v>
      </c>
      <c r="D803" s="9" t="s">
        <v>37</v>
      </c>
      <c r="E803" s="9">
        <v>11</v>
      </c>
      <c r="F803" s="9" t="s">
        <v>35</v>
      </c>
      <c r="G803" s="9"/>
      <c r="H803" s="96"/>
    </row>
    <row r="804" spans="1:9" x14ac:dyDescent="0.55000000000000004">
      <c r="A804" s="10" t="s">
        <v>297</v>
      </c>
      <c r="B804" s="9">
        <v>58</v>
      </c>
      <c r="C804" s="9">
        <v>66</v>
      </c>
      <c r="D804" s="9" t="s">
        <v>37</v>
      </c>
      <c r="E804" s="9">
        <v>11</v>
      </c>
      <c r="F804" s="9" t="s">
        <v>36</v>
      </c>
      <c r="G804" s="9"/>
      <c r="H804" s="96"/>
    </row>
    <row r="805" spans="1:9" x14ac:dyDescent="0.55000000000000004">
      <c r="A805" s="11" t="s">
        <v>298</v>
      </c>
      <c r="B805" s="12">
        <v>58</v>
      </c>
      <c r="C805" s="12">
        <v>67</v>
      </c>
      <c r="D805" s="9" t="s">
        <v>37</v>
      </c>
      <c r="E805" s="9">
        <v>11</v>
      </c>
      <c r="F805" s="9" t="s">
        <v>36</v>
      </c>
      <c r="G805" s="9"/>
      <c r="H805" s="96"/>
    </row>
    <row r="806" spans="1:9" ht="14.7" thickBot="1" x14ac:dyDescent="0.6">
      <c r="A806" s="13" t="s">
        <v>299</v>
      </c>
      <c r="B806" s="14">
        <v>57</v>
      </c>
      <c r="C806" s="14">
        <v>67</v>
      </c>
      <c r="D806" s="14" t="s">
        <v>37</v>
      </c>
      <c r="E806" s="14">
        <v>11</v>
      </c>
      <c r="F806" s="22" t="s">
        <v>36</v>
      </c>
      <c r="G806" s="14">
        <v>680</v>
      </c>
      <c r="H806" s="159">
        <f>Tabla2691619[[#This Row],[Total cluster weight (g)]]/COUNTA(A802:A806)</f>
        <v>136</v>
      </c>
    </row>
    <row r="807" spans="1:9" x14ac:dyDescent="0.55000000000000004">
      <c r="A807" s="29"/>
      <c r="B807" s="30"/>
      <c r="C807" s="4"/>
      <c r="D807" s="31"/>
      <c r="E807" s="4"/>
      <c r="F807" s="4"/>
      <c r="G807" s="4"/>
    </row>
    <row r="808" spans="1:9" x14ac:dyDescent="0.55000000000000004">
      <c r="A808" s="59" t="s">
        <v>205</v>
      </c>
      <c r="B808" s="55" t="s">
        <v>162</v>
      </c>
      <c r="C808" s="55" t="s">
        <v>163</v>
      </c>
      <c r="D808" s="55" t="s">
        <v>164</v>
      </c>
      <c r="E808" s="55" t="s">
        <v>165</v>
      </c>
      <c r="F808" s="56" t="s">
        <v>189</v>
      </c>
      <c r="G808" s="110" t="s">
        <v>230</v>
      </c>
    </row>
    <row r="809" spans="1:9" x14ac:dyDescent="0.55000000000000004">
      <c r="A809" s="60" t="s">
        <v>166</v>
      </c>
      <c r="B809" s="57">
        <f>AVERAGE(Tabla2691619[Height (mm)])</f>
        <v>51.6</v>
      </c>
      <c r="C809" s="57">
        <f>AVERAGE(Tabla2691619[Width (mm)])</f>
        <v>62.545454545454547</v>
      </c>
      <c r="D809" s="57">
        <f>MAX(Tabla2691619[[Cluster number ]])</f>
        <v>11</v>
      </c>
      <c r="E809" s="57">
        <f>AVERAGE(Tabla2691619[Tomato average weight per cluster])</f>
        <v>112.3719696969697</v>
      </c>
      <c r="F809" s="58">
        <f>COUNTA(Tabla2691619["L16" PLANT])</f>
        <v>55</v>
      </c>
      <c r="G809" s="109">
        <f>SUM(Tabla2691619[Total cluster weight (g)])</f>
        <v>6132.5</v>
      </c>
    </row>
    <row r="811" spans="1:9" ht="14.7" thickBot="1" x14ac:dyDescent="0.6">
      <c r="A811" s="5" t="s">
        <v>117</v>
      </c>
      <c r="B811" t="s">
        <v>3</v>
      </c>
      <c r="C811" t="s">
        <v>4</v>
      </c>
      <c r="D811" t="s">
        <v>5</v>
      </c>
      <c r="E811" t="s">
        <v>6</v>
      </c>
      <c r="F811" t="s">
        <v>7</v>
      </c>
      <c r="G811" t="s">
        <v>8</v>
      </c>
      <c r="H811" s="52" t="s">
        <v>161</v>
      </c>
    </row>
    <row r="812" spans="1:9" x14ac:dyDescent="0.55000000000000004">
      <c r="A812" s="6" t="s">
        <v>9</v>
      </c>
      <c r="B812" s="7">
        <v>54</v>
      </c>
      <c r="C812" s="7">
        <v>73</v>
      </c>
      <c r="D812" s="21" t="s">
        <v>37</v>
      </c>
      <c r="E812" s="9">
        <v>1</v>
      </c>
      <c r="F812" s="9" t="s">
        <v>35</v>
      </c>
      <c r="G812" s="9"/>
      <c r="H812" s="66"/>
    </row>
    <row r="813" spans="1:9" x14ac:dyDescent="0.55000000000000004">
      <c r="A813" s="8" t="s">
        <v>10</v>
      </c>
      <c r="B813" s="9">
        <v>54</v>
      </c>
      <c r="C813" s="9">
        <v>71</v>
      </c>
      <c r="D813" s="21" t="s">
        <v>37</v>
      </c>
      <c r="E813" s="9">
        <v>1</v>
      </c>
      <c r="F813" s="9" t="s">
        <v>35</v>
      </c>
      <c r="G813" s="9"/>
      <c r="H813" s="16"/>
    </row>
    <row r="814" spans="1:9" ht="14.7" thickBot="1" x14ac:dyDescent="0.6">
      <c r="A814" s="10" t="s">
        <v>11</v>
      </c>
      <c r="B814" s="14">
        <v>49</v>
      </c>
      <c r="C814" s="14">
        <v>64</v>
      </c>
      <c r="D814" s="23" t="s">
        <v>37</v>
      </c>
      <c r="E814" s="14">
        <v>1</v>
      </c>
      <c r="F814" s="14" t="s">
        <v>35</v>
      </c>
      <c r="G814" s="14">
        <v>388</v>
      </c>
      <c r="H814" s="19">
        <f>Tabla2691620[[#This Row],[Total cluster weight (g)]]/COUNTA(A812:A814)</f>
        <v>129.33333333333334</v>
      </c>
    </row>
    <row r="815" spans="1:9" x14ac:dyDescent="0.55000000000000004">
      <c r="A815" s="6" t="s">
        <v>12</v>
      </c>
      <c r="B815" s="7">
        <v>53</v>
      </c>
      <c r="C815" s="7">
        <v>66</v>
      </c>
      <c r="D815" s="28" t="s">
        <v>37</v>
      </c>
      <c r="E815" s="12">
        <v>2</v>
      </c>
      <c r="F815" s="9" t="s">
        <v>35</v>
      </c>
      <c r="G815" s="9"/>
      <c r="H815" s="68"/>
    </row>
    <row r="816" spans="1:9" x14ac:dyDescent="0.55000000000000004">
      <c r="A816" s="8" t="s">
        <v>13</v>
      </c>
      <c r="B816" s="9">
        <v>54</v>
      </c>
      <c r="C816" s="9">
        <v>71</v>
      </c>
      <c r="D816" s="28" t="s">
        <v>37</v>
      </c>
      <c r="E816" s="12">
        <v>2</v>
      </c>
      <c r="F816" s="9" t="s">
        <v>35</v>
      </c>
      <c r="G816" s="9"/>
      <c r="H816" s="18"/>
    </row>
    <row r="817" spans="1:9" x14ac:dyDescent="0.55000000000000004">
      <c r="A817" s="10" t="s">
        <v>41</v>
      </c>
      <c r="B817" s="9">
        <v>55</v>
      </c>
      <c r="C817" s="9">
        <v>72</v>
      </c>
      <c r="D817" s="28" t="s">
        <v>37</v>
      </c>
      <c r="E817" s="12">
        <v>2</v>
      </c>
      <c r="F817" s="12" t="s">
        <v>36</v>
      </c>
      <c r="G817" s="9"/>
      <c r="H817" s="16"/>
    </row>
    <row r="818" spans="1:9" x14ac:dyDescent="0.55000000000000004">
      <c r="A818" s="34" t="s">
        <v>42</v>
      </c>
      <c r="B818" s="12">
        <v>55</v>
      </c>
      <c r="C818" s="12">
        <v>69</v>
      </c>
      <c r="D818" s="28" t="s">
        <v>37</v>
      </c>
      <c r="E818" s="12">
        <v>2</v>
      </c>
      <c r="F818" s="12" t="s">
        <v>36</v>
      </c>
      <c r="G818" s="9"/>
      <c r="H818" s="18"/>
    </row>
    <row r="819" spans="1:9" ht="14.7" thickBot="1" x14ac:dyDescent="0.6">
      <c r="A819" s="35" t="s">
        <v>43</v>
      </c>
      <c r="B819" s="14">
        <v>55</v>
      </c>
      <c r="C819" s="14">
        <v>70</v>
      </c>
      <c r="D819" s="23" t="s">
        <v>37</v>
      </c>
      <c r="E819" s="14">
        <v>2</v>
      </c>
      <c r="F819" s="14" t="s">
        <v>36</v>
      </c>
      <c r="G819" s="14">
        <v>712.5</v>
      </c>
      <c r="H819" s="27">
        <f>Tabla2691620[[#This Row],[Total cluster weight (g)]]/COUNTA(A815:A819)</f>
        <v>142.5</v>
      </c>
    </row>
    <row r="820" spans="1:9" x14ac:dyDescent="0.55000000000000004">
      <c r="A820" s="6" t="s">
        <v>47</v>
      </c>
      <c r="B820" s="7">
        <v>53</v>
      </c>
      <c r="C820" s="7">
        <v>65</v>
      </c>
      <c r="D820" s="28" t="s">
        <v>37</v>
      </c>
      <c r="E820" s="12">
        <v>3</v>
      </c>
      <c r="F820" s="12" t="s">
        <v>36</v>
      </c>
      <c r="G820" s="9"/>
      <c r="H820" s="66"/>
    </row>
    <row r="821" spans="1:9" x14ac:dyDescent="0.55000000000000004">
      <c r="A821" s="8" t="s">
        <v>48</v>
      </c>
      <c r="B821" s="9">
        <v>56</v>
      </c>
      <c r="C821" s="9">
        <v>65</v>
      </c>
      <c r="D821" s="28" t="s">
        <v>37</v>
      </c>
      <c r="E821" s="12">
        <v>3</v>
      </c>
      <c r="F821" s="12" t="s">
        <v>36</v>
      </c>
      <c r="G821" s="9"/>
      <c r="H821" s="16"/>
    </row>
    <row r="822" spans="1:9" x14ac:dyDescent="0.55000000000000004">
      <c r="A822" s="10" t="s">
        <v>49</v>
      </c>
      <c r="B822" s="9">
        <v>55</v>
      </c>
      <c r="C822" s="9">
        <v>74</v>
      </c>
      <c r="D822" s="28" t="s">
        <v>37</v>
      </c>
      <c r="E822" s="12">
        <v>3</v>
      </c>
      <c r="F822" s="12" t="s">
        <v>36</v>
      </c>
      <c r="G822" s="9"/>
      <c r="H822" s="18"/>
    </row>
    <row r="823" spans="1:9" x14ac:dyDescent="0.55000000000000004">
      <c r="A823" s="34" t="s">
        <v>50</v>
      </c>
      <c r="B823" s="12">
        <v>61</v>
      </c>
      <c r="C823" s="12">
        <v>71</v>
      </c>
      <c r="D823" s="28" t="s">
        <v>37</v>
      </c>
      <c r="E823" s="12">
        <v>3</v>
      </c>
      <c r="F823" s="12" t="s">
        <v>36</v>
      </c>
      <c r="G823" s="9"/>
      <c r="H823" s="16"/>
    </row>
    <row r="824" spans="1:9" ht="14.7" thickBot="1" x14ac:dyDescent="0.6">
      <c r="A824" s="35" t="s">
        <v>51</v>
      </c>
      <c r="B824" s="14">
        <v>56</v>
      </c>
      <c r="C824" s="14">
        <v>73</v>
      </c>
      <c r="D824" s="23" t="s">
        <v>37</v>
      </c>
      <c r="E824" s="14">
        <v>3</v>
      </c>
      <c r="F824" s="14" t="s">
        <v>36</v>
      </c>
      <c r="G824" s="14">
        <v>694</v>
      </c>
      <c r="H824" s="27">
        <f>Tabla2691620[[#This Row],[Total cluster weight (g)]]/COUNTA(A820:A824)</f>
        <v>138.80000000000001</v>
      </c>
    </row>
    <row r="825" spans="1:9" x14ac:dyDescent="0.55000000000000004">
      <c r="A825" s="6" t="s">
        <v>87</v>
      </c>
      <c r="B825" s="7">
        <v>53</v>
      </c>
      <c r="C825" s="7">
        <v>73</v>
      </c>
      <c r="D825" s="21" t="s">
        <v>37</v>
      </c>
      <c r="E825" s="9">
        <v>4</v>
      </c>
      <c r="F825" s="9" t="s">
        <v>35</v>
      </c>
      <c r="G825" s="9"/>
      <c r="H825" s="68"/>
      <c r="I825" t="s">
        <v>56</v>
      </c>
    </row>
    <row r="826" spans="1:9" x14ac:dyDescent="0.55000000000000004">
      <c r="A826" s="8" t="s">
        <v>88</v>
      </c>
      <c r="B826" s="9">
        <v>56</v>
      </c>
      <c r="C826" s="9">
        <v>71</v>
      </c>
      <c r="D826" s="21" t="s">
        <v>37</v>
      </c>
      <c r="E826" s="9">
        <v>4</v>
      </c>
      <c r="F826" s="9" t="s">
        <v>35</v>
      </c>
      <c r="G826" s="9"/>
      <c r="H826" s="18"/>
    </row>
    <row r="827" spans="1:9" x14ac:dyDescent="0.55000000000000004">
      <c r="A827" s="10" t="s">
        <v>73</v>
      </c>
      <c r="B827" s="9">
        <v>55</v>
      </c>
      <c r="C827" s="9">
        <v>73</v>
      </c>
      <c r="D827" s="21" t="s">
        <v>37</v>
      </c>
      <c r="E827" s="9">
        <v>4</v>
      </c>
      <c r="F827" s="9" t="s">
        <v>35</v>
      </c>
      <c r="G827" s="9"/>
    </row>
    <row r="828" spans="1:9" x14ac:dyDescent="0.55000000000000004">
      <c r="A828" s="11" t="s">
        <v>81</v>
      </c>
      <c r="B828" s="12">
        <v>56</v>
      </c>
      <c r="C828" s="12">
        <v>75</v>
      </c>
      <c r="D828" s="21" t="s">
        <v>37</v>
      </c>
      <c r="E828" s="9">
        <v>4</v>
      </c>
      <c r="F828" s="9" t="s">
        <v>36</v>
      </c>
      <c r="G828" s="9"/>
    </row>
    <row r="829" spans="1:9" ht="14.7" thickBot="1" x14ac:dyDescent="0.6">
      <c r="A829" s="13" t="s">
        <v>66</v>
      </c>
      <c r="B829" s="14">
        <v>55</v>
      </c>
      <c r="C829" s="14">
        <v>75</v>
      </c>
      <c r="D829" s="23" t="s">
        <v>37</v>
      </c>
      <c r="E829" s="14">
        <v>4</v>
      </c>
      <c r="F829" s="14" t="s">
        <v>36</v>
      </c>
      <c r="G829" s="14">
        <v>792</v>
      </c>
      <c r="H829" s="27">
        <f>Tabla2691620[[#This Row],[Total cluster weight (g)]]/COUNTA(A825:A829)</f>
        <v>158.4</v>
      </c>
    </row>
    <row r="830" spans="1:9" x14ac:dyDescent="0.55000000000000004">
      <c r="A830" s="6" t="s">
        <v>67</v>
      </c>
      <c r="B830" s="7">
        <v>50</v>
      </c>
      <c r="C830" s="7">
        <v>66</v>
      </c>
      <c r="D830" s="21" t="s">
        <v>37</v>
      </c>
      <c r="E830" s="9">
        <v>5</v>
      </c>
      <c r="F830" s="20" t="s">
        <v>35</v>
      </c>
      <c r="G830" s="9"/>
      <c r="H830" s="97"/>
    </row>
    <row r="831" spans="1:9" x14ac:dyDescent="0.55000000000000004">
      <c r="A831" s="8" t="s">
        <v>71</v>
      </c>
      <c r="B831" s="9">
        <v>55</v>
      </c>
      <c r="C831" s="9">
        <v>68</v>
      </c>
      <c r="D831" s="21" t="s">
        <v>37</v>
      </c>
      <c r="E831" s="9">
        <v>5</v>
      </c>
      <c r="F831" s="9" t="s">
        <v>36</v>
      </c>
      <c r="G831" s="9"/>
      <c r="H831" s="97"/>
    </row>
    <row r="832" spans="1:9" x14ac:dyDescent="0.55000000000000004">
      <c r="A832" s="10" t="s">
        <v>89</v>
      </c>
      <c r="B832" s="9">
        <v>56</v>
      </c>
      <c r="C832" s="9">
        <v>68</v>
      </c>
      <c r="D832" s="21" t="s">
        <v>37</v>
      </c>
      <c r="E832" s="9">
        <v>5</v>
      </c>
      <c r="F832" s="9" t="s">
        <v>36</v>
      </c>
      <c r="G832" s="9"/>
      <c r="H832" s="97"/>
    </row>
    <row r="833" spans="1:8" x14ac:dyDescent="0.55000000000000004">
      <c r="A833" s="11" t="s">
        <v>92</v>
      </c>
      <c r="B833" s="12">
        <v>58</v>
      </c>
      <c r="C833" s="12">
        <v>71</v>
      </c>
      <c r="D833" s="21" t="s">
        <v>37</v>
      </c>
      <c r="E833" s="9">
        <v>5</v>
      </c>
      <c r="F833" s="9" t="s">
        <v>36</v>
      </c>
      <c r="G833" s="9"/>
      <c r="H833" s="97"/>
    </row>
    <row r="834" spans="1:8" ht="14.7" thickBot="1" x14ac:dyDescent="0.6">
      <c r="A834" s="13" t="s">
        <v>93</v>
      </c>
      <c r="B834" s="14">
        <v>59</v>
      </c>
      <c r="C834" s="14">
        <v>76</v>
      </c>
      <c r="D834" s="23" t="s">
        <v>37</v>
      </c>
      <c r="E834" s="14">
        <v>5</v>
      </c>
      <c r="F834" s="22" t="s">
        <v>36</v>
      </c>
      <c r="G834" s="14">
        <v>732.5</v>
      </c>
      <c r="H834" s="27">
        <f>Tabla2691620[[#This Row],[Total cluster weight (g)]]/COUNTA(A830:A834)</f>
        <v>146.5</v>
      </c>
    </row>
    <row r="835" spans="1:8" x14ac:dyDescent="0.55000000000000004">
      <c r="A835" s="6" t="s">
        <v>94</v>
      </c>
      <c r="B835" s="7">
        <v>53</v>
      </c>
      <c r="C835" s="7">
        <v>71</v>
      </c>
      <c r="D835" s="21" t="s">
        <v>37</v>
      </c>
      <c r="E835" s="9">
        <v>6</v>
      </c>
      <c r="F835" s="9" t="s">
        <v>35</v>
      </c>
      <c r="G835" s="9"/>
      <c r="H835" s="97"/>
    </row>
    <row r="836" spans="1:8" x14ac:dyDescent="0.55000000000000004">
      <c r="A836" s="8" t="s">
        <v>95</v>
      </c>
      <c r="B836" s="9">
        <v>53</v>
      </c>
      <c r="C836" s="9">
        <v>68</v>
      </c>
      <c r="D836" s="21" t="s">
        <v>37</v>
      </c>
      <c r="E836" s="9">
        <v>6</v>
      </c>
      <c r="F836" s="9" t="s">
        <v>35</v>
      </c>
      <c r="G836" s="9"/>
      <c r="H836" s="97"/>
    </row>
    <row r="837" spans="1:8" x14ac:dyDescent="0.55000000000000004">
      <c r="A837" s="10" t="s">
        <v>144</v>
      </c>
      <c r="B837" s="9">
        <v>55</v>
      </c>
      <c r="C837" s="9">
        <v>66</v>
      </c>
      <c r="D837" s="21" t="s">
        <v>37</v>
      </c>
      <c r="E837" s="9">
        <v>6</v>
      </c>
      <c r="F837" s="9" t="s">
        <v>36</v>
      </c>
      <c r="G837" s="9"/>
      <c r="H837" s="97"/>
    </row>
    <row r="838" spans="1:8" x14ac:dyDescent="0.55000000000000004">
      <c r="A838" s="11" t="s">
        <v>150</v>
      </c>
      <c r="B838" s="12">
        <v>54</v>
      </c>
      <c r="C838" s="12">
        <v>67</v>
      </c>
      <c r="D838" s="21" t="s">
        <v>37</v>
      </c>
      <c r="E838" s="9">
        <v>6</v>
      </c>
      <c r="F838" s="9" t="s">
        <v>36</v>
      </c>
      <c r="G838" s="9"/>
      <c r="H838" s="97"/>
    </row>
    <row r="839" spans="1:8" ht="14.7" thickBot="1" x14ac:dyDescent="0.6">
      <c r="A839" s="13" t="s">
        <v>151</v>
      </c>
      <c r="B839" s="14">
        <v>51</v>
      </c>
      <c r="C839" s="14">
        <v>68</v>
      </c>
      <c r="D839" s="23" t="s">
        <v>37</v>
      </c>
      <c r="E839" s="14">
        <v>6</v>
      </c>
      <c r="F839" s="14" t="s">
        <v>36</v>
      </c>
      <c r="G839" s="14">
        <v>679</v>
      </c>
      <c r="H839" s="27">
        <f>Tabla2691620[[#This Row],[Total cluster weight (g)]]/COUNTA(A835:A839)</f>
        <v>135.80000000000001</v>
      </c>
    </row>
    <row r="840" spans="1:8" x14ac:dyDescent="0.55000000000000004">
      <c r="A840" s="34" t="s">
        <v>152</v>
      </c>
      <c r="B840" s="12">
        <v>51</v>
      </c>
      <c r="C840" s="12">
        <v>66</v>
      </c>
      <c r="D840" s="28" t="s">
        <v>37</v>
      </c>
      <c r="E840" s="12">
        <v>7</v>
      </c>
      <c r="F840" s="12" t="s">
        <v>68</v>
      </c>
      <c r="G840" s="12"/>
      <c r="H840" s="118"/>
    </row>
    <row r="841" spans="1:8" x14ac:dyDescent="0.55000000000000004">
      <c r="A841" s="10" t="s">
        <v>153</v>
      </c>
      <c r="B841" s="9">
        <v>50</v>
      </c>
      <c r="C841" s="9">
        <v>64</v>
      </c>
      <c r="D841" s="21" t="s">
        <v>37</v>
      </c>
      <c r="E841" s="9">
        <v>7</v>
      </c>
      <c r="F841" s="9" t="s">
        <v>35</v>
      </c>
      <c r="G841" s="9"/>
      <c r="H841" s="89"/>
    </row>
    <row r="842" spans="1:8" x14ac:dyDescent="0.55000000000000004">
      <c r="A842" s="10" t="s">
        <v>158</v>
      </c>
      <c r="B842" s="9">
        <v>52</v>
      </c>
      <c r="C842" s="9">
        <v>69</v>
      </c>
      <c r="D842" s="21" t="s">
        <v>37</v>
      </c>
      <c r="E842" s="9">
        <v>7</v>
      </c>
      <c r="F842" s="9" t="s">
        <v>36</v>
      </c>
      <c r="G842" s="9"/>
      <c r="H842" s="89"/>
    </row>
    <row r="843" spans="1:8" x14ac:dyDescent="0.55000000000000004">
      <c r="A843" s="10" t="s">
        <v>215</v>
      </c>
      <c r="B843" s="9">
        <v>55</v>
      </c>
      <c r="C843" s="9">
        <v>72</v>
      </c>
      <c r="D843" s="21" t="s">
        <v>37</v>
      </c>
      <c r="E843" s="9">
        <v>7</v>
      </c>
      <c r="F843" s="9" t="s">
        <v>36</v>
      </c>
      <c r="G843" s="9"/>
      <c r="H843" s="89"/>
    </row>
    <row r="844" spans="1:8" ht="14.7" thickBot="1" x14ac:dyDescent="0.6">
      <c r="A844" s="35" t="s">
        <v>216</v>
      </c>
      <c r="B844" s="14">
        <v>52</v>
      </c>
      <c r="C844" s="14">
        <v>71</v>
      </c>
      <c r="D844" s="23" t="s">
        <v>37</v>
      </c>
      <c r="E844" s="14">
        <v>7</v>
      </c>
      <c r="F844" s="14" t="s">
        <v>36</v>
      </c>
      <c r="G844" s="14">
        <v>664</v>
      </c>
      <c r="H844" s="116">
        <f>Tabla2691620[[#This Row],[Total cluster weight (g)]]/COUNTA(A840:A844)</f>
        <v>132.80000000000001</v>
      </c>
    </row>
    <row r="845" spans="1:8" x14ac:dyDescent="0.55000000000000004">
      <c r="A845" s="29" t="s">
        <v>217</v>
      </c>
      <c r="B845" s="80">
        <v>52</v>
      </c>
      <c r="C845" s="80">
        <v>66</v>
      </c>
      <c r="D845" s="136" t="s">
        <v>37</v>
      </c>
      <c r="E845" s="80">
        <v>8</v>
      </c>
      <c r="F845" s="20" t="s">
        <v>35</v>
      </c>
      <c r="G845" s="80"/>
      <c r="H845" s="97"/>
    </row>
    <row r="846" spans="1:8" x14ac:dyDescent="0.55000000000000004">
      <c r="A846" s="29" t="s">
        <v>218</v>
      </c>
      <c r="B846" s="80">
        <v>51</v>
      </c>
      <c r="C846" s="80">
        <v>70</v>
      </c>
      <c r="D846" s="136" t="s">
        <v>37</v>
      </c>
      <c r="E846" s="80">
        <v>8</v>
      </c>
      <c r="F846" s="9" t="s">
        <v>36</v>
      </c>
      <c r="G846" s="80"/>
      <c r="H846" s="97"/>
    </row>
    <row r="847" spans="1:8" x14ac:dyDescent="0.55000000000000004">
      <c r="A847" s="29" t="s">
        <v>219</v>
      </c>
      <c r="B847" s="80">
        <v>54</v>
      </c>
      <c r="C847" s="80">
        <v>70</v>
      </c>
      <c r="D847" s="136" t="s">
        <v>37</v>
      </c>
      <c r="E847" s="80">
        <v>8</v>
      </c>
      <c r="F847" s="9" t="s">
        <v>36</v>
      </c>
      <c r="G847" s="80"/>
      <c r="H847" s="97"/>
    </row>
    <row r="848" spans="1:8" x14ac:dyDescent="0.55000000000000004">
      <c r="A848" s="29" t="s">
        <v>222</v>
      </c>
      <c r="B848" s="80">
        <v>53</v>
      </c>
      <c r="C848" s="80">
        <v>68</v>
      </c>
      <c r="D848" s="136" t="s">
        <v>37</v>
      </c>
      <c r="E848" s="80">
        <v>8</v>
      </c>
      <c r="F848" s="9" t="s">
        <v>36</v>
      </c>
      <c r="G848" s="80"/>
      <c r="H848" s="97"/>
    </row>
    <row r="849" spans="1:9" ht="14.7" thickBot="1" x14ac:dyDescent="0.6">
      <c r="A849" s="91" t="s">
        <v>223</v>
      </c>
      <c r="B849" s="84">
        <v>55</v>
      </c>
      <c r="C849" s="84">
        <v>77</v>
      </c>
      <c r="D849" s="137" t="s">
        <v>37</v>
      </c>
      <c r="E849" s="84">
        <v>8</v>
      </c>
      <c r="F849" s="22" t="s">
        <v>36</v>
      </c>
      <c r="G849" s="84">
        <v>710</v>
      </c>
      <c r="H849" s="135">
        <f>Tabla2691620[[#This Row],[Total cluster weight (g)]]/COUNTA(A845:A849)</f>
        <v>142</v>
      </c>
    </row>
    <row r="850" spans="1:9" x14ac:dyDescent="0.55000000000000004">
      <c r="A850" s="29" t="s">
        <v>232</v>
      </c>
      <c r="B850" s="80">
        <v>57</v>
      </c>
      <c r="C850" s="80">
        <v>70</v>
      </c>
      <c r="D850" s="136" t="s">
        <v>37</v>
      </c>
      <c r="E850" s="80">
        <v>9</v>
      </c>
      <c r="F850" s="20" t="s">
        <v>35</v>
      </c>
      <c r="G850" s="80"/>
      <c r="H850" s="97"/>
    </row>
    <row r="851" spans="1:9" x14ac:dyDescent="0.55000000000000004">
      <c r="A851" s="29" t="s">
        <v>233</v>
      </c>
      <c r="B851" s="80">
        <v>52</v>
      </c>
      <c r="C851" s="80">
        <v>64</v>
      </c>
      <c r="D851" s="136" t="s">
        <v>37</v>
      </c>
      <c r="E851" s="9">
        <v>9</v>
      </c>
      <c r="F851" s="9" t="s">
        <v>35</v>
      </c>
      <c r="G851" s="80"/>
      <c r="H851" s="97"/>
    </row>
    <row r="852" spans="1:9" x14ac:dyDescent="0.55000000000000004">
      <c r="A852" s="29" t="s">
        <v>234</v>
      </c>
      <c r="B852" s="80">
        <v>54</v>
      </c>
      <c r="C852" s="80">
        <v>65</v>
      </c>
      <c r="D852" s="136" t="s">
        <v>37</v>
      </c>
      <c r="E852" s="9">
        <v>9</v>
      </c>
      <c r="F852" s="9" t="s">
        <v>36</v>
      </c>
      <c r="G852" s="80"/>
      <c r="H852" s="97"/>
    </row>
    <row r="853" spans="1:9" ht="14.7" thickBot="1" x14ac:dyDescent="0.6">
      <c r="A853" s="91" t="s">
        <v>235</v>
      </c>
      <c r="B853" s="84">
        <v>56</v>
      </c>
      <c r="C853" s="84">
        <v>72</v>
      </c>
      <c r="D853" s="137" t="s">
        <v>37</v>
      </c>
      <c r="E853" s="84">
        <v>9</v>
      </c>
      <c r="F853" s="22" t="s">
        <v>36</v>
      </c>
      <c r="G853" s="84">
        <v>543.5</v>
      </c>
      <c r="H853" s="135">
        <f>Tabla2691620[[#This Row],[Total cluster weight (g)]]/COUNTA(A850:A853)</f>
        <v>135.875</v>
      </c>
    </row>
    <row r="854" spans="1:9" x14ac:dyDescent="0.55000000000000004">
      <c r="A854" s="6" t="s">
        <v>300</v>
      </c>
      <c r="B854" s="7">
        <v>55</v>
      </c>
      <c r="C854" s="7">
        <v>66</v>
      </c>
      <c r="D854" s="9" t="s">
        <v>37</v>
      </c>
      <c r="E854" s="9">
        <v>10</v>
      </c>
      <c r="F854" s="20" t="s">
        <v>35</v>
      </c>
      <c r="G854" s="9"/>
      <c r="H854" s="160"/>
      <c r="I854" t="s">
        <v>56</v>
      </c>
    </row>
    <row r="855" spans="1:9" x14ac:dyDescent="0.55000000000000004">
      <c r="A855" s="8" t="s">
        <v>301</v>
      </c>
      <c r="B855" s="9">
        <v>56</v>
      </c>
      <c r="C855" s="9">
        <v>67</v>
      </c>
      <c r="D855" s="9" t="s">
        <v>37</v>
      </c>
      <c r="E855" s="9">
        <v>10</v>
      </c>
      <c r="F855" s="9" t="s">
        <v>35</v>
      </c>
      <c r="G855" s="9"/>
      <c r="H855" s="160"/>
    </row>
    <row r="856" spans="1:9" x14ac:dyDescent="0.55000000000000004">
      <c r="A856" s="10" t="s">
        <v>302</v>
      </c>
      <c r="B856" s="9">
        <v>57</v>
      </c>
      <c r="C856" s="9">
        <v>71</v>
      </c>
      <c r="D856" s="9" t="s">
        <v>37</v>
      </c>
      <c r="E856" s="9">
        <v>10</v>
      </c>
      <c r="F856" s="9" t="s">
        <v>36</v>
      </c>
      <c r="G856" s="9"/>
      <c r="H856" s="160"/>
    </row>
    <row r="857" spans="1:9" ht="14.7" thickBot="1" x14ac:dyDescent="0.6">
      <c r="A857" s="13" t="s">
        <v>250</v>
      </c>
      <c r="B857" s="14">
        <v>59</v>
      </c>
      <c r="C857" s="14">
        <v>70</v>
      </c>
      <c r="D857" s="14" t="s">
        <v>37</v>
      </c>
      <c r="E857" s="14">
        <v>10</v>
      </c>
      <c r="F857" s="22" t="s">
        <v>36</v>
      </c>
      <c r="G857" s="14">
        <v>587.5</v>
      </c>
      <c r="H857" s="158">
        <f>Tabla2691620[[#This Row],[Total cluster weight (g)]]/COUNTA(A854:A857)</f>
        <v>146.875</v>
      </c>
    </row>
    <row r="858" spans="1:9" x14ac:dyDescent="0.55000000000000004">
      <c r="A858" s="29"/>
      <c r="B858" s="30"/>
      <c r="C858" s="4"/>
      <c r="D858" s="31"/>
      <c r="E858" s="4"/>
      <c r="F858" s="4"/>
      <c r="G858" s="4"/>
    </row>
    <row r="859" spans="1:9" x14ac:dyDescent="0.55000000000000004">
      <c r="A859" s="59" t="s">
        <v>206</v>
      </c>
      <c r="B859" s="55" t="s">
        <v>162</v>
      </c>
      <c r="C859" s="55" t="s">
        <v>163</v>
      </c>
      <c r="D859" s="55" t="s">
        <v>164</v>
      </c>
      <c r="E859" s="55" t="s">
        <v>165</v>
      </c>
      <c r="F859" s="56" t="s">
        <v>189</v>
      </c>
      <c r="G859" s="110" t="s">
        <v>230</v>
      </c>
    </row>
    <row r="860" spans="1:9" x14ac:dyDescent="0.55000000000000004">
      <c r="A860" s="60" t="s">
        <v>166</v>
      </c>
      <c r="B860" s="57">
        <f>AVERAGE(Tabla2691620[Height (mm)])</f>
        <v>54.347826086956523</v>
      </c>
      <c r="C860" s="57">
        <f>AVERAGE(Tabla2691620[Width (mm)])</f>
        <v>69.521739130434781</v>
      </c>
      <c r="D860" s="57">
        <f>MAX(Tabla2691620[[Cluster number ]])</f>
        <v>10</v>
      </c>
      <c r="E860" s="57">
        <f>AVERAGE(Tabla2691620[Tomato average weight per cluster])</f>
        <v>140.88833333333335</v>
      </c>
      <c r="F860" s="58">
        <f>COUNTA(Tabla2691620["L17" PLANT])</f>
        <v>46</v>
      </c>
      <c r="G860" s="109">
        <f>SUM(Tabla2691620[Total cluster weight (g)])</f>
        <v>6503</v>
      </c>
    </row>
    <row r="862" spans="1:9" ht="14.7" thickBot="1" x14ac:dyDescent="0.6">
      <c r="A862" s="5" t="s">
        <v>118</v>
      </c>
      <c r="B862" t="s">
        <v>3</v>
      </c>
      <c r="C862" t="s">
        <v>4</v>
      </c>
      <c r="D862" t="s">
        <v>5</v>
      </c>
      <c r="E862" t="s">
        <v>6</v>
      </c>
      <c r="F862" t="s">
        <v>7</v>
      </c>
      <c r="G862" t="s">
        <v>8</v>
      </c>
      <c r="H862" s="52" t="s">
        <v>161</v>
      </c>
    </row>
    <row r="863" spans="1:9" x14ac:dyDescent="0.55000000000000004">
      <c r="A863" s="6" t="s">
        <v>9</v>
      </c>
      <c r="B863" s="7">
        <v>55</v>
      </c>
      <c r="C863" s="7">
        <v>76</v>
      </c>
      <c r="D863" s="21" t="s">
        <v>37</v>
      </c>
      <c r="E863" s="9">
        <v>1</v>
      </c>
      <c r="F863" s="9" t="s">
        <v>35</v>
      </c>
      <c r="G863" s="9"/>
      <c r="H863" s="66"/>
    </row>
    <row r="864" spans="1:9" ht="14.7" thickBot="1" x14ac:dyDescent="0.6">
      <c r="A864" s="13" t="s">
        <v>10</v>
      </c>
      <c r="B864" s="14">
        <v>46</v>
      </c>
      <c r="C864" s="14">
        <v>60</v>
      </c>
      <c r="D864" s="23" t="s">
        <v>37</v>
      </c>
      <c r="E864" s="14">
        <v>1</v>
      </c>
      <c r="F864" s="14" t="s">
        <v>36</v>
      </c>
      <c r="G864" s="14">
        <v>256.5</v>
      </c>
      <c r="H864" s="27">
        <f>Tabla2691621[[#This Row],[Total cluster weight (g)]]/COUNTA(A863:A864)</f>
        <v>128.25</v>
      </c>
    </row>
    <row r="865" spans="1:9" x14ac:dyDescent="0.55000000000000004">
      <c r="A865" s="34" t="s">
        <v>11</v>
      </c>
      <c r="B865" s="9">
        <v>58</v>
      </c>
      <c r="C865" s="9">
        <v>70</v>
      </c>
      <c r="D865" s="21" t="s">
        <v>37</v>
      </c>
      <c r="E865" s="9">
        <v>2</v>
      </c>
      <c r="F865" s="9" t="s">
        <v>36</v>
      </c>
      <c r="G865" s="9"/>
      <c r="H865" s="66"/>
    </row>
    <row r="866" spans="1:9" x14ac:dyDescent="0.55000000000000004">
      <c r="A866" s="10" t="s">
        <v>12</v>
      </c>
      <c r="B866" s="9">
        <v>55</v>
      </c>
      <c r="C866" s="9">
        <v>73</v>
      </c>
      <c r="D866" s="21" t="s">
        <v>37</v>
      </c>
      <c r="E866" s="9">
        <v>2</v>
      </c>
      <c r="F866" s="9" t="s">
        <v>36</v>
      </c>
      <c r="G866" s="9"/>
      <c r="H866" s="16"/>
    </row>
    <row r="867" spans="1:9" x14ac:dyDescent="0.55000000000000004">
      <c r="A867" s="10" t="s">
        <v>13</v>
      </c>
      <c r="B867" s="9">
        <v>56</v>
      </c>
      <c r="C867" s="9">
        <v>71</v>
      </c>
      <c r="D867" s="21" t="s">
        <v>37</v>
      </c>
      <c r="E867" s="9">
        <v>2</v>
      </c>
      <c r="F867" s="9" t="s">
        <v>36</v>
      </c>
      <c r="G867" s="9"/>
      <c r="H867" s="18"/>
    </row>
    <row r="868" spans="1:9" x14ac:dyDescent="0.55000000000000004">
      <c r="A868" s="10" t="s">
        <v>41</v>
      </c>
      <c r="B868" s="9">
        <v>55</v>
      </c>
      <c r="C868" s="9">
        <v>74</v>
      </c>
      <c r="D868" s="21" t="s">
        <v>37</v>
      </c>
      <c r="E868" s="9">
        <v>2</v>
      </c>
      <c r="F868" s="9" t="s">
        <v>36</v>
      </c>
      <c r="G868" s="9"/>
      <c r="H868" s="16"/>
    </row>
    <row r="869" spans="1:9" ht="14.7" thickBot="1" x14ac:dyDescent="0.6">
      <c r="A869" s="35" t="s">
        <v>123</v>
      </c>
      <c r="B869" s="14">
        <v>48</v>
      </c>
      <c r="C869" s="14">
        <v>64</v>
      </c>
      <c r="D869" s="23">
        <v>107</v>
      </c>
      <c r="E869" s="14">
        <v>2</v>
      </c>
      <c r="F869" s="14" t="s">
        <v>36</v>
      </c>
      <c r="G869" s="14">
        <v>724</v>
      </c>
      <c r="H869" s="19">
        <f>Tabla2691621[[#This Row],[Total cluster weight (g)]]/COUNTA(A865:A869)</f>
        <v>144.80000000000001</v>
      </c>
      <c r="I869" t="s">
        <v>46</v>
      </c>
    </row>
    <row r="870" spans="1:9" x14ac:dyDescent="0.55000000000000004">
      <c r="A870" s="6" t="s">
        <v>145</v>
      </c>
      <c r="B870" s="7">
        <v>54</v>
      </c>
      <c r="C870" s="7">
        <v>71</v>
      </c>
      <c r="D870" s="21" t="s">
        <v>37</v>
      </c>
      <c r="E870" s="9">
        <v>3</v>
      </c>
      <c r="F870" s="9" t="s">
        <v>35</v>
      </c>
      <c r="G870" s="9"/>
      <c r="H870" s="68"/>
      <c r="I870" t="s">
        <v>56</v>
      </c>
    </row>
    <row r="871" spans="1:9" x14ac:dyDescent="0.55000000000000004">
      <c r="A871" s="8" t="s">
        <v>146</v>
      </c>
      <c r="B871" s="9">
        <v>56</v>
      </c>
      <c r="C871" s="9">
        <v>70</v>
      </c>
      <c r="D871" s="21" t="s">
        <v>37</v>
      </c>
      <c r="E871" s="9">
        <v>3</v>
      </c>
      <c r="F871" s="9" t="s">
        <v>35</v>
      </c>
      <c r="G871" s="9"/>
      <c r="H871" s="18"/>
    </row>
    <row r="872" spans="1:9" x14ac:dyDescent="0.55000000000000004">
      <c r="A872" s="10" t="s">
        <v>140</v>
      </c>
      <c r="B872" s="9">
        <v>59</v>
      </c>
      <c r="C872" s="9">
        <v>75</v>
      </c>
      <c r="D872" s="21" t="s">
        <v>37</v>
      </c>
      <c r="E872" s="9">
        <v>3</v>
      </c>
      <c r="F872" s="9" t="s">
        <v>36</v>
      </c>
      <c r="G872" s="9"/>
      <c r="H872" s="16"/>
    </row>
    <row r="873" spans="1:9" x14ac:dyDescent="0.55000000000000004">
      <c r="A873" s="11" t="s">
        <v>49</v>
      </c>
      <c r="B873" s="12">
        <v>58</v>
      </c>
      <c r="C873" s="12">
        <v>73</v>
      </c>
      <c r="D873" s="21" t="s">
        <v>37</v>
      </c>
      <c r="E873" s="9">
        <v>3</v>
      </c>
      <c r="F873" s="9" t="s">
        <v>36</v>
      </c>
      <c r="G873" s="9"/>
      <c r="H873" s="18"/>
    </row>
    <row r="874" spans="1:9" ht="14.7" thickBot="1" x14ac:dyDescent="0.6">
      <c r="A874" s="13" t="s">
        <v>50</v>
      </c>
      <c r="B874" s="14">
        <v>57</v>
      </c>
      <c r="C874" s="14">
        <v>74</v>
      </c>
      <c r="D874" s="23" t="s">
        <v>37</v>
      </c>
      <c r="E874" s="14">
        <v>3</v>
      </c>
      <c r="F874" s="14" t="s">
        <v>36</v>
      </c>
      <c r="G874" s="14">
        <v>798</v>
      </c>
      <c r="H874" s="27">
        <f>Tabla2691621[[#This Row],[Total cluster weight (g)]]/COUNTA(A870:A874)</f>
        <v>159.6</v>
      </c>
    </row>
    <row r="875" spans="1:9" x14ac:dyDescent="0.55000000000000004">
      <c r="A875" s="6" t="s">
        <v>51</v>
      </c>
      <c r="B875" s="7">
        <v>53</v>
      </c>
      <c r="C875" s="7">
        <v>67</v>
      </c>
      <c r="D875" s="21" t="s">
        <v>37</v>
      </c>
      <c r="E875" s="9">
        <v>4</v>
      </c>
      <c r="F875" s="9" t="s">
        <v>35</v>
      </c>
      <c r="G875" s="9"/>
      <c r="H875" s="66"/>
    </row>
    <row r="876" spans="1:9" x14ac:dyDescent="0.55000000000000004">
      <c r="A876" s="8" t="s">
        <v>52</v>
      </c>
      <c r="B876" s="9">
        <v>55</v>
      </c>
      <c r="C876" s="9">
        <v>67</v>
      </c>
      <c r="D876" s="21" t="s">
        <v>37</v>
      </c>
      <c r="E876" s="9">
        <v>4</v>
      </c>
      <c r="F876" s="9" t="s">
        <v>35</v>
      </c>
      <c r="G876" s="9"/>
      <c r="H876" s="16"/>
    </row>
    <row r="877" spans="1:9" x14ac:dyDescent="0.55000000000000004">
      <c r="A877" s="10" t="s">
        <v>53</v>
      </c>
      <c r="B877" s="9">
        <v>54</v>
      </c>
      <c r="C877" s="9">
        <v>72</v>
      </c>
      <c r="D877" s="21" t="s">
        <v>37</v>
      </c>
      <c r="E877" s="9">
        <v>4</v>
      </c>
      <c r="F877" s="9" t="s">
        <v>36</v>
      </c>
      <c r="G877" s="9"/>
      <c r="H877" s="18"/>
    </row>
    <row r="878" spans="1:9" x14ac:dyDescent="0.55000000000000004">
      <c r="A878" s="11" t="s">
        <v>80</v>
      </c>
      <c r="B878" s="12">
        <v>58</v>
      </c>
      <c r="C878" s="12">
        <v>76</v>
      </c>
      <c r="D878" s="21" t="s">
        <v>37</v>
      </c>
      <c r="E878" s="9">
        <v>4</v>
      </c>
      <c r="F878" s="9" t="s">
        <v>36</v>
      </c>
      <c r="G878" s="9"/>
      <c r="H878" s="5"/>
    </row>
    <row r="879" spans="1:9" x14ac:dyDescent="0.55000000000000004">
      <c r="A879" s="10" t="s">
        <v>81</v>
      </c>
      <c r="B879" s="9">
        <v>56</v>
      </c>
      <c r="C879" s="9">
        <v>72</v>
      </c>
      <c r="D879" s="21" t="s">
        <v>37</v>
      </c>
      <c r="E879" s="9">
        <v>4</v>
      </c>
      <c r="F879" s="9" t="s">
        <v>36</v>
      </c>
      <c r="G879" s="9"/>
      <c r="H879" s="5"/>
    </row>
    <row r="880" spans="1:9" ht="14.7" thickBot="1" x14ac:dyDescent="0.6">
      <c r="A880" s="13" t="s">
        <v>66</v>
      </c>
      <c r="B880" s="14">
        <v>58</v>
      </c>
      <c r="C880" s="14">
        <v>79</v>
      </c>
      <c r="D880" s="23" t="s">
        <v>37</v>
      </c>
      <c r="E880" s="14">
        <v>4</v>
      </c>
      <c r="F880" s="14" t="s">
        <v>36</v>
      </c>
      <c r="G880" s="14">
        <v>949.5</v>
      </c>
      <c r="H880" s="82">
        <f>Tabla2691621[[#This Row],[Total cluster weight (g)]]/COUNTA(A875:A880)</f>
        <v>158.25</v>
      </c>
    </row>
    <row r="881" spans="1:9" x14ac:dyDescent="0.55000000000000004">
      <c r="A881" s="6" t="s">
        <v>67</v>
      </c>
      <c r="B881" s="7">
        <v>49</v>
      </c>
      <c r="C881" s="7">
        <v>68</v>
      </c>
      <c r="D881" s="21" t="s">
        <v>37</v>
      </c>
      <c r="E881" s="9">
        <v>5</v>
      </c>
      <c r="F881" s="20" t="s">
        <v>35</v>
      </c>
      <c r="G881" s="9"/>
      <c r="H881" s="92"/>
    </row>
    <row r="882" spans="1:9" x14ac:dyDescent="0.55000000000000004">
      <c r="A882" s="8" t="s">
        <v>71</v>
      </c>
      <c r="B882" s="9">
        <v>54</v>
      </c>
      <c r="C882" s="9">
        <v>71</v>
      </c>
      <c r="D882" s="21" t="s">
        <v>37</v>
      </c>
      <c r="E882" s="9">
        <v>5</v>
      </c>
      <c r="F882" s="9" t="s">
        <v>36</v>
      </c>
      <c r="G882" s="9"/>
      <c r="H882" s="92"/>
    </row>
    <row r="883" spans="1:9" x14ac:dyDescent="0.55000000000000004">
      <c r="A883" s="10" t="s">
        <v>89</v>
      </c>
      <c r="B883" s="9">
        <v>55</v>
      </c>
      <c r="C883" s="9">
        <v>69</v>
      </c>
      <c r="D883" s="21" t="s">
        <v>37</v>
      </c>
      <c r="E883" s="9">
        <v>5</v>
      </c>
      <c r="F883" s="9" t="s">
        <v>36</v>
      </c>
      <c r="G883" s="9"/>
      <c r="H883" s="92"/>
    </row>
    <row r="884" spans="1:9" x14ac:dyDescent="0.55000000000000004">
      <c r="A884" s="11" t="s">
        <v>92</v>
      </c>
      <c r="B884" s="12">
        <v>56</v>
      </c>
      <c r="C884" s="12">
        <v>74</v>
      </c>
      <c r="D884" s="21" t="s">
        <v>37</v>
      </c>
      <c r="E884" s="9">
        <v>5</v>
      </c>
      <c r="F884" s="9" t="s">
        <v>36</v>
      </c>
      <c r="G884" s="9"/>
      <c r="H884" s="92"/>
    </row>
    <row r="885" spans="1:9" ht="14.7" thickBot="1" x14ac:dyDescent="0.6">
      <c r="A885" s="13" t="s">
        <v>93</v>
      </c>
      <c r="B885" s="14">
        <v>53</v>
      </c>
      <c r="C885" s="14">
        <v>72</v>
      </c>
      <c r="D885" s="23" t="s">
        <v>37</v>
      </c>
      <c r="E885" s="14">
        <v>5</v>
      </c>
      <c r="F885" s="22" t="s">
        <v>36</v>
      </c>
      <c r="G885" s="14">
        <v>743.5</v>
      </c>
      <c r="H885" s="82">
        <f>Tabla2691621[[#This Row],[Total cluster weight (g)]]/COUNTA(A881:A885)</f>
        <v>148.69999999999999</v>
      </c>
    </row>
    <row r="886" spans="1:9" x14ac:dyDescent="0.55000000000000004">
      <c r="A886" s="34" t="s">
        <v>94</v>
      </c>
      <c r="B886" s="12">
        <v>55</v>
      </c>
      <c r="C886" s="12">
        <v>70</v>
      </c>
      <c r="D886" s="28" t="s">
        <v>37</v>
      </c>
      <c r="E886" s="12">
        <v>6</v>
      </c>
      <c r="F886" s="12" t="s">
        <v>36</v>
      </c>
      <c r="G886" s="12"/>
      <c r="H886" s="93"/>
    </row>
    <row r="887" spans="1:9" x14ac:dyDescent="0.55000000000000004">
      <c r="A887" s="10" t="s">
        <v>95</v>
      </c>
      <c r="B887" s="9">
        <v>53</v>
      </c>
      <c r="C887" s="9">
        <v>71</v>
      </c>
      <c r="D887" s="21" t="s">
        <v>37</v>
      </c>
      <c r="E887" s="9">
        <v>6</v>
      </c>
      <c r="F887" s="9" t="s">
        <v>36</v>
      </c>
      <c r="G887" s="9"/>
      <c r="H887" s="88"/>
    </row>
    <row r="888" spans="1:9" x14ac:dyDescent="0.55000000000000004">
      <c r="A888" s="10" t="s">
        <v>144</v>
      </c>
      <c r="B888" s="9">
        <v>57</v>
      </c>
      <c r="C888" s="9">
        <v>72</v>
      </c>
      <c r="D888" s="21" t="s">
        <v>37</v>
      </c>
      <c r="E888" s="9">
        <v>6</v>
      </c>
      <c r="F888" s="9" t="s">
        <v>36</v>
      </c>
      <c r="G888" s="9"/>
      <c r="H888" s="88"/>
    </row>
    <row r="889" spans="1:9" x14ac:dyDescent="0.55000000000000004">
      <c r="A889" s="10" t="s">
        <v>150</v>
      </c>
      <c r="B889" s="9">
        <v>54</v>
      </c>
      <c r="C889" s="9">
        <v>63</v>
      </c>
      <c r="D889" s="21" t="s">
        <v>37</v>
      </c>
      <c r="E889" s="9">
        <v>6</v>
      </c>
      <c r="F889" s="9" t="s">
        <v>36</v>
      </c>
      <c r="G889" s="9"/>
      <c r="H889" s="88"/>
    </row>
    <row r="890" spans="1:9" ht="14.7" thickBot="1" x14ac:dyDescent="0.6">
      <c r="A890" s="35" t="s">
        <v>151</v>
      </c>
      <c r="B890" s="14">
        <v>55</v>
      </c>
      <c r="C890" s="14">
        <v>72</v>
      </c>
      <c r="D890" s="23" t="s">
        <v>37</v>
      </c>
      <c r="E890" s="14">
        <v>6</v>
      </c>
      <c r="F890" s="14" t="s">
        <v>36</v>
      </c>
      <c r="G890" s="14">
        <v>736.5</v>
      </c>
      <c r="H890" s="102">
        <f>Tabla2691621[[#This Row],[Total cluster weight (g)]]/COUNTA(A886:A890)</f>
        <v>147.30000000000001</v>
      </c>
    </row>
    <row r="891" spans="1:9" x14ac:dyDescent="0.55000000000000004">
      <c r="A891" s="34" t="s">
        <v>152</v>
      </c>
      <c r="B891" s="12">
        <v>52</v>
      </c>
      <c r="C891" s="12">
        <v>66</v>
      </c>
      <c r="D891" s="28" t="s">
        <v>37</v>
      </c>
      <c r="E891" s="12">
        <v>7</v>
      </c>
      <c r="F891" s="12" t="s">
        <v>36</v>
      </c>
      <c r="G891" s="12"/>
      <c r="H891" s="93"/>
    </row>
    <row r="892" spans="1:9" x14ac:dyDescent="0.55000000000000004">
      <c r="A892" s="10" t="s">
        <v>153</v>
      </c>
      <c r="B892" s="9">
        <v>53</v>
      </c>
      <c r="C892" s="9">
        <v>68</v>
      </c>
      <c r="D892" s="21" t="s">
        <v>37</v>
      </c>
      <c r="E892" s="9">
        <v>7</v>
      </c>
      <c r="F892" s="9" t="s">
        <v>36</v>
      </c>
      <c r="G892" s="9"/>
      <c r="H892" s="88"/>
    </row>
    <row r="893" spans="1:9" x14ac:dyDescent="0.55000000000000004">
      <c r="A893" s="10" t="s">
        <v>158</v>
      </c>
      <c r="B893" s="9">
        <v>53</v>
      </c>
      <c r="C893" s="9">
        <v>69</v>
      </c>
      <c r="D893" s="21" t="s">
        <v>37</v>
      </c>
      <c r="E893" s="9">
        <v>7</v>
      </c>
      <c r="F893" s="9" t="s">
        <v>36</v>
      </c>
      <c r="G893" s="9"/>
      <c r="H893" s="88"/>
    </row>
    <row r="894" spans="1:9" x14ac:dyDescent="0.55000000000000004">
      <c r="A894" s="10" t="s">
        <v>215</v>
      </c>
      <c r="B894" s="9">
        <v>57</v>
      </c>
      <c r="C894" s="9">
        <v>72</v>
      </c>
      <c r="D894" s="21" t="s">
        <v>37</v>
      </c>
      <c r="E894" s="9">
        <v>7</v>
      </c>
      <c r="F894" s="9" t="s">
        <v>36</v>
      </c>
      <c r="G894" s="9"/>
      <c r="H894" s="88"/>
    </row>
    <row r="895" spans="1:9" ht="14.7" thickBot="1" x14ac:dyDescent="0.6">
      <c r="A895" s="35" t="s">
        <v>216</v>
      </c>
      <c r="B895" s="14">
        <v>54</v>
      </c>
      <c r="C895" s="14">
        <v>70</v>
      </c>
      <c r="D895" s="23" t="s">
        <v>37</v>
      </c>
      <c r="E895" s="14">
        <v>7</v>
      </c>
      <c r="F895" s="14" t="s">
        <v>36</v>
      </c>
      <c r="G895" s="14">
        <v>704</v>
      </c>
      <c r="H895" s="102">
        <f>Tabla2691621[[#This Row],[Total cluster weight (g)]]/COUNTA(A891:A895)</f>
        <v>140.80000000000001</v>
      </c>
    </row>
    <row r="896" spans="1:9" x14ac:dyDescent="0.55000000000000004">
      <c r="A896" s="34" t="s">
        <v>257</v>
      </c>
      <c r="B896" s="12">
        <v>55</v>
      </c>
      <c r="C896" s="12">
        <v>70</v>
      </c>
      <c r="D896" s="28" t="s">
        <v>37</v>
      </c>
      <c r="E896" s="12">
        <v>8</v>
      </c>
      <c r="F896" s="12" t="s">
        <v>35</v>
      </c>
      <c r="G896" s="12"/>
      <c r="H896" s="93"/>
      <c r="I896" s="145" t="s">
        <v>56</v>
      </c>
    </row>
    <row r="897" spans="1:8" x14ac:dyDescent="0.55000000000000004">
      <c r="A897" s="10" t="s">
        <v>258</v>
      </c>
      <c r="B897" s="9">
        <v>57</v>
      </c>
      <c r="C897" s="9">
        <v>72</v>
      </c>
      <c r="D897" s="21" t="s">
        <v>37</v>
      </c>
      <c r="E897" s="9">
        <v>8</v>
      </c>
      <c r="F897" s="9" t="s">
        <v>35</v>
      </c>
      <c r="G897" s="9"/>
      <c r="H897" s="88"/>
    </row>
    <row r="898" spans="1:8" x14ac:dyDescent="0.55000000000000004">
      <c r="A898" s="10" t="s">
        <v>259</v>
      </c>
      <c r="B898" s="9">
        <v>55</v>
      </c>
      <c r="C898" s="9">
        <v>70</v>
      </c>
      <c r="D898" s="21" t="s">
        <v>37</v>
      </c>
      <c r="E898" s="9">
        <v>8</v>
      </c>
      <c r="F898" s="9" t="s">
        <v>36</v>
      </c>
      <c r="G898" s="9"/>
      <c r="H898" s="88"/>
    </row>
    <row r="899" spans="1:8" x14ac:dyDescent="0.55000000000000004">
      <c r="A899" s="10" t="s">
        <v>222</v>
      </c>
      <c r="B899" s="9">
        <v>56</v>
      </c>
      <c r="C899" s="9">
        <v>69</v>
      </c>
      <c r="D899" s="21" t="s">
        <v>37</v>
      </c>
      <c r="E899" s="9">
        <v>8</v>
      </c>
      <c r="F899" s="9" t="s">
        <v>36</v>
      </c>
      <c r="G899" s="9"/>
      <c r="H899" s="88"/>
    </row>
    <row r="900" spans="1:8" ht="14.7" thickBot="1" x14ac:dyDescent="0.6">
      <c r="A900" s="35" t="s">
        <v>223</v>
      </c>
      <c r="B900" s="14">
        <v>58</v>
      </c>
      <c r="C900" s="14">
        <v>74</v>
      </c>
      <c r="D900" s="23" t="s">
        <v>37</v>
      </c>
      <c r="E900" s="14">
        <v>8</v>
      </c>
      <c r="F900" s="14" t="s">
        <v>36</v>
      </c>
      <c r="G900" s="14">
        <v>715.5</v>
      </c>
      <c r="H900" s="102">
        <f>Tabla2691621[[#This Row],[Total cluster weight (g)]]/COUNTA(A896:A900)</f>
        <v>143.1</v>
      </c>
    </row>
    <row r="901" spans="1:8" x14ac:dyDescent="0.55000000000000004">
      <c r="A901" s="29"/>
      <c r="B901" s="30"/>
      <c r="C901" s="4"/>
      <c r="D901" s="31"/>
      <c r="E901" s="4"/>
      <c r="F901" s="4"/>
      <c r="G901" s="4"/>
    </row>
    <row r="902" spans="1:8" x14ac:dyDescent="0.55000000000000004">
      <c r="A902" s="59" t="s">
        <v>207</v>
      </c>
      <c r="B902" s="55" t="s">
        <v>162</v>
      </c>
      <c r="C902" s="55" t="s">
        <v>163</v>
      </c>
      <c r="D902" s="55" t="s">
        <v>164</v>
      </c>
      <c r="E902" s="55" t="s">
        <v>165</v>
      </c>
      <c r="F902" s="56" t="s">
        <v>189</v>
      </c>
      <c r="G902" s="110" t="s">
        <v>230</v>
      </c>
    </row>
    <row r="903" spans="1:8" x14ac:dyDescent="0.55000000000000004">
      <c r="A903" s="60" t="s">
        <v>166</v>
      </c>
      <c r="B903" s="57">
        <f>AVERAGE(Tabla2691621[Height (mm)])</f>
        <v>54.789473684210527</v>
      </c>
      <c r="C903" s="57">
        <f>AVERAGE(Tabla2691621[Width (mm)])</f>
        <v>70.684210526315795</v>
      </c>
      <c r="D903" s="57">
        <f>MAX(Tabla2691621[[Cluster number ]])</f>
        <v>8</v>
      </c>
      <c r="E903" s="57">
        <f>AVERAGE(Tabla2691621[Tomato average weight per cluster])</f>
        <v>146.34999999999997</v>
      </c>
      <c r="F903" s="58">
        <f>COUNTA(Tabla2691621["L18" PLANT])</f>
        <v>38</v>
      </c>
      <c r="G903" s="109">
        <f>SUM(Tabla2691621[Total cluster weight (g)])</f>
        <v>5627.5</v>
      </c>
    </row>
    <row r="905" spans="1:8" ht="14.7" thickBot="1" x14ac:dyDescent="0.6">
      <c r="A905" s="5" t="s">
        <v>119</v>
      </c>
      <c r="B905" t="s">
        <v>3</v>
      </c>
      <c r="C905" t="s">
        <v>4</v>
      </c>
      <c r="D905" t="s">
        <v>5</v>
      </c>
      <c r="E905" t="s">
        <v>6</v>
      </c>
      <c r="F905" t="s">
        <v>7</v>
      </c>
      <c r="G905" t="s">
        <v>8</v>
      </c>
      <c r="H905" s="52" t="s">
        <v>161</v>
      </c>
    </row>
    <row r="906" spans="1:8" x14ac:dyDescent="0.55000000000000004">
      <c r="A906" s="6" t="s">
        <v>9</v>
      </c>
      <c r="B906" s="7">
        <v>49</v>
      </c>
      <c r="C906" s="7">
        <v>65</v>
      </c>
      <c r="D906" s="21" t="s">
        <v>37</v>
      </c>
      <c r="E906" s="9">
        <v>1</v>
      </c>
      <c r="F906" s="9" t="s">
        <v>35</v>
      </c>
      <c r="G906" s="9"/>
      <c r="H906" s="66"/>
    </row>
    <row r="907" spans="1:8" x14ac:dyDescent="0.55000000000000004">
      <c r="A907" s="8" t="s">
        <v>10</v>
      </c>
      <c r="B907" s="9">
        <v>45</v>
      </c>
      <c r="C907" s="9">
        <v>59</v>
      </c>
      <c r="D907" s="21" t="s">
        <v>37</v>
      </c>
      <c r="E907" s="9">
        <v>1</v>
      </c>
      <c r="F907" s="9" t="s">
        <v>36</v>
      </c>
      <c r="G907" s="9"/>
      <c r="H907" s="16"/>
    </row>
    <row r="908" spans="1:8" x14ac:dyDescent="0.55000000000000004">
      <c r="A908" s="10" t="s">
        <v>11</v>
      </c>
      <c r="B908" s="9">
        <v>47</v>
      </c>
      <c r="C908" s="9">
        <v>60</v>
      </c>
      <c r="D908" s="21" t="s">
        <v>37</v>
      </c>
      <c r="E908" s="9">
        <v>1</v>
      </c>
      <c r="F908" s="9" t="s">
        <v>36</v>
      </c>
      <c r="G908" s="9"/>
      <c r="H908" s="18"/>
    </row>
    <row r="909" spans="1:8" ht="14.7" thickBot="1" x14ac:dyDescent="0.6">
      <c r="A909" s="13" t="s">
        <v>12</v>
      </c>
      <c r="B909" s="14">
        <v>48</v>
      </c>
      <c r="C909" s="14">
        <v>66</v>
      </c>
      <c r="D909" s="23" t="s">
        <v>37</v>
      </c>
      <c r="E909" s="14">
        <v>1</v>
      </c>
      <c r="F909" s="14" t="s">
        <v>36</v>
      </c>
      <c r="G909" s="14">
        <v>416.5</v>
      </c>
      <c r="H909" s="27">
        <f>Tabla2691622[[#This Row],[Total cluster weight (g)]]/COUNTA(A906:A909)</f>
        <v>104.125</v>
      </c>
    </row>
    <row r="910" spans="1:8" x14ac:dyDescent="0.55000000000000004">
      <c r="A910" s="6" t="s">
        <v>13</v>
      </c>
      <c r="B910" s="7">
        <v>55</v>
      </c>
      <c r="C910" s="7">
        <v>74</v>
      </c>
      <c r="D910" s="28" t="s">
        <v>37</v>
      </c>
      <c r="E910" s="9">
        <v>2</v>
      </c>
      <c r="F910" s="9" t="s">
        <v>35</v>
      </c>
      <c r="G910" s="9"/>
      <c r="H910" s="66"/>
    </row>
    <row r="911" spans="1:8" x14ac:dyDescent="0.55000000000000004">
      <c r="A911" s="8" t="s">
        <v>41</v>
      </c>
      <c r="B911" s="9">
        <v>52</v>
      </c>
      <c r="C911" s="9">
        <v>68</v>
      </c>
      <c r="D911" s="28" t="s">
        <v>37</v>
      </c>
      <c r="E911" s="9">
        <v>2</v>
      </c>
      <c r="F911" s="9" t="s">
        <v>35</v>
      </c>
      <c r="G911" s="9"/>
      <c r="H911" s="16"/>
    </row>
    <row r="912" spans="1:8" x14ac:dyDescent="0.55000000000000004">
      <c r="A912" s="10" t="s">
        <v>42</v>
      </c>
      <c r="B912" s="9">
        <v>53</v>
      </c>
      <c r="C912" s="9">
        <v>69</v>
      </c>
      <c r="D912" s="21" t="s">
        <v>37</v>
      </c>
      <c r="E912" s="9">
        <v>2</v>
      </c>
      <c r="F912" s="9" t="s">
        <v>35</v>
      </c>
      <c r="G912" s="9"/>
      <c r="H912" s="18"/>
    </row>
    <row r="913" spans="1:9" ht="14.7" thickBot="1" x14ac:dyDescent="0.6">
      <c r="A913" s="39" t="s">
        <v>124</v>
      </c>
      <c r="B913" s="22">
        <v>51</v>
      </c>
      <c r="C913" s="22">
        <v>81</v>
      </c>
      <c r="D913" s="26">
        <v>171</v>
      </c>
      <c r="E913" s="22">
        <v>2</v>
      </c>
      <c r="F913" s="22" t="s">
        <v>36</v>
      </c>
      <c r="G913" s="14">
        <v>597.5</v>
      </c>
      <c r="H913" s="27">
        <f>Tabla2691622[[#This Row],[Total cluster weight (g)]]/COUNTA(A910:A913)</f>
        <v>149.375</v>
      </c>
      <c r="I913" t="s">
        <v>38</v>
      </c>
    </row>
    <row r="914" spans="1:9" x14ac:dyDescent="0.55000000000000004">
      <c r="A914" s="10" t="s">
        <v>47</v>
      </c>
      <c r="B914" s="9">
        <v>52</v>
      </c>
      <c r="C914" s="9">
        <v>67</v>
      </c>
      <c r="D914" s="21" t="s">
        <v>37</v>
      </c>
      <c r="E914" s="9">
        <v>3</v>
      </c>
      <c r="F914" s="9" t="s">
        <v>35</v>
      </c>
      <c r="G914" s="9"/>
      <c r="H914" s="66"/>
    </row>
    <row r="915" spans="1:9" x14ac:dyDescent="0.55000000000000004">
      <c r="A915" s="10" t="s">
        <v>48</v>
      </c>
      <c r="B915" s="9">
        <v>52</v>
      </c>
      <c r="C915" s="9">
        <v>68</v>
      </c>
      <c r="D915" s="21" t="s">
        <v>37</v>
      </c>
      <c r="E915" s="9">
        <v>3</v>
      </c>
      <c r="F915" s="9" t="s">
        <v>35</v>
      </c>
      <c r="G915" s="9"/>
      <c r="H915" s="16"/>
    </row>
    <row r="916" spans="1:9" x14ac:dyDescent="0.55000000000000004">
      <c r="A916" s="10" t="s">
        <v>49</v>
      </c>
      <c r="B916" s="9">
        <v>54</v>
      </c>
      <c r="C916" s="9">
        <v>67</v>
      </c>
      <c r="D916" s="21" t="s">
        <v>37</v>
      </c>
      <c r="E916" s="9">
        <v>3</v>
      </c>
      <c r="F916" s="9" t="s">
        <v>36</v>
      </c>
      <c r="G916" s="9"/>
      <c r="H916" s="18"/>
    </row>
    <row r="917" spans="1:9" x14ac:dyDescent="0.55000000000000004">
      <c r="A917" s="10" t="s">
        <v>50</v>
      </c>
      <c r="B917" s="9">
        <v>53</v>
      </c>
      <c r="C917" s="9">
        <v>67</v>
      </c>
      <c r="D917" s="21" t="s">
        <v>37</v>
      </c>
      <c r="E917" s="9">
        <v>3</v>
      </c>
      <c r="F917" s="9" t="s">
        <v>36</v>
      </c>
      <c r="G917" s="9"/>
      <c r="H917" s="16"/>
    </row>
    <row r="918" spans="1:9" ht="14.7" thickBot="1" x14ac:dyDescent="0.6">
      <c r="A918" s="35" t="s">
        <v>51</v>
      </c>
      <c r="B918" s="14">
        <v>53</v>
      </c>
      <c r="C918" s="14">
        <v>73</v>
      </c>
      <c r="D918" s="23" t="s">
        <v>37</v>
      </c>
      <c r="E918" s="14">
        <v>3</v>
      </c>
      <c r="F918" s="14" t="s">
        <v>36</v>
      </c>
      <c r="G918" s="14">
        <v>664.5</v>
      </c>
      <c r="H918" s="27">
        <f>Tabla2691622[[#This Row],[Total cluster weight (g)]]/COUNTA(A914:A918)</f>
        <v>132.9</v>
      </c>
    </row>
    <row r="919" spans="1:9" x14ac:dyDescent="0.55000000000000004">
      <c r="A919" s="6" t="s">
        <v>87</v>
      </c>
      <c r="B919" s="7">
        <v>52</v>
      </c>
      <c r="C919" s="7">
        <v>72</v>
      </c>
      <c r="D919" s="21" t="s">
        <v>37</v>
      </c>
      <c r="E919" s="9">
        <v>4</v>
      </c>
      <c r="F919" s="9" t="s">
        <v>36</v>
      </c>
      <c r="G919" s="9"/>
      <c r="H919" s="68"/>
      <c r="I919" t="s">
        <v>56</v>
      </c>
    </row>
    <row r="920" spans="1:9" x14ac:dyDescent="0.55000000000000004">
      <c r="A920" s="8" t="s">
        <v>88</v>
      </c>
      <c r="B920" s="9">
        <v>51</v>
      </c>
      <c r="C920" s="9">
        <v>67</v>
      </c>
      <c r="D920" s="21" t="s">
        <v>37</v>
      </c>
      <c r="E920" s="9">
        <v>4</v>
      </c>
      <c r="F920" s="9" t="s">
        <v>36</v>
      </c>
      <c r="G920" s="9"/>
      <c r="H920" s="18"/>
    </row>
    <row r="921" spans="1:9" x14ac:dyDescent="0.55000000000000004">
      <c r="A921" s="10" t="s">
        <v>73</v>
      </c>
      <c r="B921" s="9">
        <v>55</v>
      </c>
      <c r="C921" s="9">
        <v>71</v>
      </c>
      <c r="D921" s="21" t="s">
        <v>37</v>
      </c>
      <c r="E921" s="9">
        <v>4</v>
      </c>
      <c r="F921" s="9" t="s">
        <v>36</v>
      </c>
      <c r="G921" s="9"/>
      <c r="H921" s="5"/>
    </row>
    <row r="922" spans="1:9" x14ac:dyDescent="0.55000000000000004">
      <c r="A922" s="8" t="s">
        <v>81</v>
      </c>
      <c r="B922" s="9">
        <v>56</v>
      </c>
      <c r="C922" s="9">
        <v>71</v>
      </c>
      <c r="D922" s="21" t="s">
        <v>37</v>
      </c>
      <c r="E922" s="9">
        <v>4</v>
      </c>
      <c r="F922" s="9" t="s">
        <v>36</v>
      </c>
      <c r="G922" s="9"/>
      <c r="H922" s="5"/>
    </row>
    <row r="923" spans="1:9" ht="14.7" thickBot="1" x14ac:dyDescent="0.6">
      <c r="A923" s="13" t="s">
        <v>66</v>
      </c>
      <c r="B923" s="14">
        <v>54</v>
      </c>
      <c r="C923" s="14">
        <v>70</v>
      </c>
      <c r="D923" s="23" t="s">
        <v>37</v>
      </c>
      <c r="E923" s="14">
        <v>4</v>
      </c>
      <c r="F923" s="14" t="s">
        <v>36</v>
      </c>
      <c r="G923" s="14">
        <v>729</v>
      </c>
      <c r="H923" s="27">
        <f>Tabla2691622[[#This Row],[Total cluster weight (g)]]/COUNTA(A919:A923)</f>
        <v>145.80000000000001</v>
      </c>
    </row>
    <row r="924" spans="1:9" x14ac:dyDescent="0.55000000000000004">
      <c r="A924" s="6" t="s">
        <v>67</v>
      </c>
      <c r="B924" s="7">
        <v>52</v>
      </c>
      <c r="C924" s="7">
        <v>69</v>
      </c>
      <c r="D924" s="21" t="s">
        <v>37</v>
      </c>
      <c r="E924" s="9">
        <v>5</v>
      </c>
      <c r="F924" s="9" t="s">
        <v>35</v>
      </c>
      <c r="G924" s="9"/>
      <c r="H924" s="5"/>
    </row>
    <row r="925" spans="1:9" x14ac:dyDescent="0.55000000000000004">
      <c r="A925" s="8" t="s">
        <v>71</v>
      </c>
      <c r="B925" s="9">
        <v>53</v>
      </c>
      <c r="C925" s="9">
        <v>68</v>
      </c>
      <c r="D925" s="21" t="s">
        <v>37</v>
      </c>
      <c r="E925" s="9">
        <v>5</v>
      </c>
      <c r="F925" s="9" t="s">
        <v>35</v>
      </c>
      <c r="G925" s="9"/>
      <c r="H925" s="5"/>
    </row>
    <row r="926" spans="1:9" x14ac:dyDescent="0.55000000000000004">
      <c r="A926" s="10" t="s">
        <v>89</v>
      </c>
      <c r="B926" s="9">
        <v>57</v>
      </c>
      <c r="C926" s="9">
        <v>73</v>
      </c>
      <c r="D926" s="21" t="s">
        <v>37</v>
      </c>
      <c r="E926" s="9">
        <v>5</v>
      </c>
      <c r="F926" s="9" t="s">
        <v>36</v>
      </c>
      <c r="G926" s="9"/>
      <c r="H926" s="5"/>
    </row>
    <row r="927" spans="1:9" x14ac:dyDescent="0.55000000000000004">
      <c r="A927" s="11" t="s">
        <v>92</v>
      </c>
      <c r="B927" s="12">
        <v>57</v>
      </c>
      <c r="C927" s="12">
        <v>75</v>
      </c>
      <c r="D927" s="21" t="s">
        <v>37</v>
      </c>
      <c r="E927" s="9">
        <v>5</v>
      </c>
      <c r="F927" s="9" t="s">
        <v>36</v>
      </c>
      <c r="G927" s="9"/>
      <c r="H927" s="5"/>
    </row>
    <row r="928" spans="1:9" ht="14.7" thickBot="1" x14ac:dyDescent="0.6">
      <c r="A928" s="13" t="s">
        <v>93</v>
      </c>
      <c r="B928" s="14">
        <v>57</v>
      </c>
      <c r="C928" s="14">
        <v>76</v>
      </c>
      <c r="D928" s="23" t="s">
        <v>37</v>
      </c>
      <c r="E928" s="14">
        <v>5</v>
      </c>
      <c r="F928" s="14" t="s">
        <v>36</v>
      </c>
      <c r="G928" s="14">
        <v>782</v>
      </c>
      <c r="H928" s="27">
        <f>Tabla2691622[[#This Row],[Total cluster weight (g)]]/COUNTA(A924:A928)</f>
        <v>156.4</v>
      </c>
    </row>
    <row r="929" spans="1:8" x14ac:dyDescent="0.55000000000000004">
      <c r="A929" s="6" t="s">
        <v>94</v>
      </c>
      <c r="B929" s="7">
        <v>51</v>
      </c>
      <c r="C929" s="7">
        <v>69</v>
      </c>
      <c r="D929" s="21" t="s">
        <v>37</v>
      </c>
      <c r="E929" s="9">
        <v>6</v>
      </c>
      <c r="F929" s="20" t="s">
        <v>35</v>
      </c>
      <c r="G929" s="9"/>
      <c r="H929" s="96"/>
    </row>
    <row r="930" spans="1:8" x14ac:dyDescent="0.55000000000000004">
      <c r="A930" s="8" t="s">
        <v>95</v>
      </c>
      <c r="B930" s="9">
        <v>52</v>
      </c>
      <c r="C930" s="9">
        <v>71</v>
      </c>
      <c r="D930" s="21" t="s">
        <v>37</v>
      </c>
      <c r="E930" s="9">
        <v>6</v>
      </c>
      <c r="F930" s="9" t="s">
        <v>36</v>
      </c>
      <c r="G930" s="9"/>
      <c r="H930" s="96"/>
    </row>
    <row r="931" spans="1:8" x14ac:dyDescent="0.55000000000000004">
      <c r="A931" s="10" t="s">
        <v>144</v>
      </c>
      <c r="B931" s="9">
        <v>54</v>
      </c>
      <c r="C931" s="9">
        <v>73</v>
      </c>
      <c r="D931" s="21" t="s">
        <v>37</v>
      </c>
      <c r="E931" s="9">
        <v>6</v>
      </c>
      <c r="F931" s="9" t="s">
        <v>36</v>
      </c>
      <c r="G931" s="9"/>
      <c r="H931" s="96"/>
    </row>
    <row r="932" spans="1:8" ht="14.7" thickBot="1" x14ac:dyDescent="0.6">
      <c r="A932" s="48" t="s">
        <v>150</v>
      </c>
      <c r="B932" s="22">
        <v>51</v>
      </c>
      <c r="C932" s="22">
        <v>69</v>
      </c>
      <c r="D932" s="23" t="s">
        <v>37</v>
      </c>
      <c r="E932" s="14">
        <v>6</v>
      </c>
      <c r="F932" s="22" t="s">
        <v>36</v>
      </c>
      <c r="G932" s="14">
        <v>588</v>
      </c>
      <c r="H932" s="27">
        <f>Tabla2691622[[#This Row],[Total cluster weight (g)]]/COUNTA(A929:A932)</f>
        <v>147</v>
      </c>
    </row>
    <row r="933" spans="1:8" x14ac:dyDescent="0.55000000000000004">
      <c r="A933" s="6" t="s">
        <v>151</v>
      </c>
      <c r="B933" s="7">
        <v>52</v>
      </c>
      <c r="C933" s="7">
        <v>67</v>
      </c>
      <c r="D933" s="21" t="s">
        <v>37</v>
      </c>
      <c r="E933" s="9">
        <v>7</v>
      </c>
      <c r="F933" s="9" t="s">
        <v>68</v>
      </c>
      <c r="G933" s="9"/>
      <c r="H933" s="96"/>
    </row>
    <row r="934" spans="1:8" x14ac:dyDescent="0.55000000000000004">
      <c r="A934" s="8" t="s">
        <v>152</v>
      </c>
      <c r="B934" s="9">
        <v>54</v>
      </c>
      <c r="C934" s="9">
        <v>69</v>
      </c>
      <c r="D934" s="21" t="s">
        <v>37</v>
      </c>
      <c r="E934" s="9">
        <v>7</v>
      </c>
      <c r="F934" s="9" t="s">
        <v>35</v>
      </c>
      <c r="G934" s="9"/>
      <c r="H934" s="96"/>
    </row>
    <row r="935" spans="1:8" x14ac:dyDescent="0.55000000000000004">
      <c r="A935" s="10" t="s">
        <v>153</v>
      </c>
      <c r="B935" s="9">
        <v>52</v>
      </c>
      <c r="C935" s="9">
        <v>70</v>
      </c>
      <c r="D935" s="21" t="s">
        <v>37</v>
      </c>
      <c r="E935" s="9">
        <v>7</v>
      </c>
      <c r="F935" s="9" t="s">
        <v>36</v>
      </c>
      <c r="G935" s="9"/>
      <c r="H935" s="96"/>
    </row>
    <row r="936" spans="1:8" x14ac:dyDescent="0.55000000000000004">
      <c r="A936" s="11" t="s">
        <v>158</v>
      </c>
      <c r="B936" s="12">
        <v>55</v>
      </c>
      <c r="C936" s="12">
        <v>74</v>
      </c>
      <c r="D936" s="21" t="s">
        <v>37</v>
      </c>
      <c r="E936" s="9">
        <v>7</v>
      </c>
      <c r="F936" s="9" t="s">
        <v>36</v>
      </c>
      <c r="G936" s="9"/>
      <c r="H936" s="96"/>
    </row>
    <row r="937" spans="1:8" ht="14.7" thickBot="1" x14ac:dyDescent="0.6">
      <c r="A937" s="13" t="s">
        <v>215</v>
      </c>
      <c r="B937" s="14">
        <v>54</v>
      </c>
      <c r="C937" s="14">
        <v>76</v>
      </c>
      <c r="D937" s="23" t="s">
        <v>37</v>
      </c>
      <c r="E937" s="14">
        <v>7</v>
      </c>
      <c r="F937" s="14" t="s">
        <v>36</v>
      </c>
      <c r="G937" s="14">
        <v>756</v>
      </c>
      <c r="H937" s="27">
        <f>Tabla2691622[[#This Row],[Total cluster weight (g)]]/COUNTA(A933:A937)</f>
        <v>151.19999999999999</v>
      </c>
    </row>
    <row r="938" spans="1:8" x14ac:dyDescent="0.55000000000000004">
      <c r="A938" s="34" t="s">
        <v>216</v>
      </c>
      <c r="B938" s="12">
        <v>48</v>
      </c>
      <c r="C938" s="12">
        <v>63</v>
      </c>
      <c r="D938" s="28" t="s">
        <v>37</v>
      </c>
      <c r="E938" s="12">
        <v>8</v>
      </c>
      <c r="F938" s="12" t="s">
        <v>35</v>
      </c>
      <c r="G938" s="12"/>
      <c r="H938" s="118"/>
    </row>
    <row r="939" spans="1:8" x14ac:dyDescent="0.55000000000000004">
      <c r="A939" s="10" t="s">
        <v>217</v>
      </c>
      <c r="B939" s="9">
        <v>50</v>
      </c>
      <c r="C939" s="9">
        <v>67</v>
      </c>
      <c r="D939" s="21" t="s">
        <v>37</v>
      </c>
      <c r="E939" s="12">
        <v>8</v>
      </c>
      <c r="F939" s="9" t="s">
        <v>35</v>
      </c>
      <c r="G939" s="9"/>
      <c r="H939" s="89"/>
    </row>
    <row r="940" spans="1:8" x14ac:dyDescent="0.55000000000000004">
      <c r="A940" s="10" t="s">
        <v>218</v>
      </c>
      <c r="B940" s="9">
        <v>52</v>
      </c>
      <c r="C940" s="9">
        <v>66</v>
      </c>
      <c r="D940" s="21" t="s">
        <v>37</v>
      </c>
      <c r="E940" s="12">
        <v>8</v>
      </c>
      <c r="F940" s="9" t="s">
        <v>35</v>
      </c>
      <c r="G940" s="9"/>
      <c r="H940" s="89"/>
    </row>
    <row r="941" spans="1:8" x14ac:dyDescent="0.55000000000000004">
      <c r="A941" s="10" t="s">
        <v>219</v>
      </c>
      <c r="B941" s="9">
        <v>51</v>
      </c>
      <c r="C941" s="9">
        <v>67</v>
      </c>
      <c r="D941" s="21" t="s">
        <v>37</v>
      </c>
      <c r="E941" s="12">
        <v>8</v>
      </c>
      <c r="F941" s="9" t="s">
        <v>35</v>
      </c>
      <c r="G941" s="9"/>
      <c r="H941" s="89"/>
    </row>
    <row r="942" spans="1:8" ht="14.7" thickBot="1" x14ac:dyDescent="0.6">
      <c r="A942" s="35" t="s">
        <v>222</v>
      </c>
      <c r="B942" s="14">
        <v>51</v>
      </c>
      <c r="C942" s="14">
        <v>69</v>
      </c>
      <c r="D942" s="23" t="s">
        <v>37</v>
      </c>
      <c r="E942" s="14">
        <v>8</v>
      </c>
      <c r="F942" s="14" t="s">
        <v>35</v>
      </c>
      <c r="G942" s="14">
        <v>616.5</v>
      </c>
      <c r="H942" s="116">
        <f>Tabla2691622[[#This Row],[Total cluster weight (g)]]/COUNTA(A938:A942)</f>
        <v>123.3</v>
      </c>
    </row>
    <row r="943" spans="1:8" x14ac:dyDescent="0.55000000000000004">
      <c r="A943" s="10" t="s">
        <v>223</v>
      </c>
      <c r="B943" s="12">
        <v>44</v>
      </c>
      <c r="C943" s="12">
        <v>54</v>
      </c>
      <c r="D943" s="28" t="s">
        <v>37</v>
      </c>
      <c r="E943" s="12">
        <v>9</v>
      </c>
      <c r="F943" s="12" t="s">
        <v>36</v>
      </c>
      <c r="G943" s="12"/>
      <c r="H943" s="118"/>
    </row>
    <row r="944" spans="1:8" x14ac:dyDescent="0.55000000000000004">
      <c r="A944" s="10" t="s">
        <v>232</v>
      </c>
      <c r="B944" s="9">
        <v>51</v>
      </c>
      <c r="C944" s="9">
        <v>64</v>
      </c>
      <c r="D944" s="21" t="s">
        <v>37</v>
      </c>
      <c r="E944" s="12">
        <v>9</v>
      </c>
      <c r="F944" s="9" t="s">
        <v>36</v>
      </c>
      <c r="G944" s="9"/>
      <c r="H944" s="89"/>
    </row>
    <row r="945" spans="1:9" x14ac:dyDescent="0.55000000000000004">
      <c r="A945" s="10" t="s">
        <v>233</v>
      </c>
      <c r="B945" s="9">
        <v>50</v>
      </c>
      <c r="C945" s="9">
        <v>67</v>
      </c>
      <c r="D945" s="21" t="s">
        <v>37</v>
      </c>
      <c r="E945" s="12">
        <v>9</v>
      </c>
      <c r="F945" s="9" t="s">
        <v>36</v>
      </c>
      <c r="G945" s="9"/>
      <c r="H945" s="89"/>
    </row>
    <row r="946" spans="1:9" x14ac:dyDescent="0.55000000000000004">
      <c r="A946" s="10" t="s">
        <v>303</v>
      </c>
      <c r="B946" s="9">
        <v>53</v>
      </c>
      <c r="C946" s="9">
        <v>68</v>
      </c>
      <c r="D946" s="21" t="s">
        <v>37</v>
      </c>
      <c r="E946" s="12">
        <v>9</v>
      </c>
      <c r="F946" s="9" t="s">
        <v>36</v>
      </c>
      <c r="G946" s="9"/>
      <c r="H946" s="89"/>
    </row>
    <row r="947" spans="1:9" ht="14.7" thickBot="1" x14ac:dyDescent="0.6">
      <c r="A947" s="35" t="s">
        <v>304</v>
      </c>
      <c r="B947" s="14">
        <v>49</v>
      </c>
      <c r="C947" s="14">
        <v>69</v>
      </c>
      <c r="D947" s="23" t="s">
        <v>37</v>
      </c>
      <c r="E947" s="14">
        <v>9</v>
      </c>
      <c r="F947" s="14" t="s">
        <v>36</v>
      </c>
      <c r="G947" s="14">
        <v>565.5</v>
      </c>
      <c r="H947" s="116">
        <f>Tabla2691622[[#This Row],[Total cluster weight (g)]]/COUNTA(A943:A947)</f>
        <v>113.1</v>
      </c>
    </row>
    <row r="948" spans="1:9" x14ac:dyDescent="0.55000000000000004">
      <c r="A948" s="6" t="s">
        <v>315</v>
      </c>
      <c r="B948" s="7">
        <v>51</v>
      </c>
      <c r="C948" s="7">
        <v>62</v>
      </c>
      <c r="D948" s="9" t="s">
        <v>37</v>
      </c>
      <c r="E948" s="9">
        <v>10</v>
      </c>
      <c r="F948" s="20" t="s">
        <v>36</v>
      </c>
      <c r="G948" s="9"/>
      <c r="H948" s="96"/>
      <c r="I948" t="s">
        <v>56</v>
      </c>
    </row>
    <row r="949" spans="1:9" x14ac:dyDescent="0.55000000000000004">
      <c r="A949" s="8" t="s">
        <v>286</v>
      </c>
      <c r="B949" s="9">
        <v>49</v>
      </c>
      <c r="C949" s="9">
        <v>65</v>
      </c>
      <c r="D949" s="9">
        <v>119.5</v>
      </c>
      <c r="E949" s="9">
        <v>10</v>
      </c>
      <c r="F949" s="9" t="s">
        <v>36</v>
      </c>
      <c r="G949" s="9"/>
      <c r="H949" s="96"/>
    </row>
    <row r="950" spans="1:9" x14ac:dyDescent="0.55000000000000004">
      <c r="A950" s="10" t="s">
        <v>277</v>
      </c>
      <c r="B950" s="9">
        <v>53</v>
      </c>
      <c r="C950" s="9">
        <v>66</v>
      </c>
      <c r="D950" s="9" t="s">
        <v>37</v>
      </c>
      <c r="E950" s="9">
        <v>10</v>
      </c>
      <c r="F950" s="9" t="s">
        <v>36</v>
      </c>
      <c r="G950" s="9"/>
      <c r="H950" s="96"/>
    </row>
    <row r="951" spans="1:9" x14ac:dyDescent="0.55000000000000004">
      <c r="A951" s="11" t="s">
        <v>250</v>
      </c>
      <c r="B951" s="12">
        <v>53</v>
      </c>
      <c r="C951" s="12">
        <v>69</v>
      </c>
      <c r="D951" s="9" t="s">
        <v>37</v>
      </c>
      <c r="E951" s="9">
        <v>10</v>
      </c>
      <c r="F951" s="9" t="s">
        <v>36</v>
      </c>
      <c r="G951" s="9"/>
      <c r="H951" s="96"/>
    </row>
    <row r="952" spans="1:9" ht="14.7" thickBot="1" x14ac:dyDescent="0.6">
      <c r="A952" s="13" t="s">
        <v>255</v>
      </c>
      <c r="B952" s="14">
        <v>52</v>
      </c>
      <c r="C952" s="14">
        <v>71</v>
      </c>
      <c r="D952" s="14" t="s">
        <v>37</v>
      </c>
      <c r="E952" s="14">
        <v>10</v>
      </c>
      <c r="F952" s="22" t="s">
        <v>36</v>
      </c>
      <c r="G952" s="14">
        <v>634.5</v>
      </c>
      <c r="H952" s="159">
        <f>Tabla2691622[[#This Row],[Total cluster weight (g)]]/COUNTA(A948:A952)</f>
        <v>126.9</v>
      </c>
    </row>
    <row r="953" spans="1:9" x14ac:dyDescent="0.55000000000000004">
      <c r="A953" s="29"/>
      <c r="B953" s="30"/>
      <c r="C953" s="4"/>
      <c r="D953" s="31"/>
      <c r="E953" s="4"/>
      <c r="F953" s="4"/>
      <c r="G953" s="4"/>
    </row>
    <row r="954" spans="1:9" x14ac:dyDescent="0.55000000000000004">
      <c r="A954" s="59" t="s">
        <v>208</v>
      </c>
      <c r="B954" s="55" t="s">
        <v>162</v>
      </c>
      <c r="C954" s="55" t="s">
        <v>163</v>
      </c>
      <c r="D954" s="55" t="s">
        <v>164</v>
      </c>
      <c r="E954" s="55" t="s">
        <v>165</v>
      </c>
      <c r="F954" s="56" t="s">
        <v>189</v>
      </c>
      <c r="G954" s="110" t="s">
        <v>230</v>
      </c>
    </row>
    <row r="955" spans="1:9" x14ac:dyDescent="0.55000000000000004">
      <c r="A955" s="60" t="s">
        <v>166</v>
      </c>
      <c r="B955" s="57">
        <f>AVERAGE(B906:B952)</f>
        <v>51.914893617021278</v>
      </c>
      <c r="C955" s="57">
        <f>AVERAGE(C906:C952)</f>
        <v>68.531914893617028</v>
      </c>
      <c r="D955" s="57">
        <f>MAX(Tabla2691622[[Cluster number ]])</f>
        <v>10</v>
      </c>
      <c r="E955" s="57">
        <f>AVERAGE(Tabla2691622[Tomato average weight per cluster])</f>
        <v>135.01</v>
      </c>
      <c r="F955" s="58">
        <f>COUNTA(Tabla2691622["L19" PLANT])</f>
        <v>47</v>
      </c>
      <c r="G955" s="109">
        <f>SUM(Tabla2691622[Total cluster weight (g)])</f>
        <v>6350</v>
      </c>
    </row>
    <row r="957" spans="1:9" ht="14.7" thickBot="1" x14ac:dyDescent="0.6">
      <c r="A957" s="5" t="s">
        <v>120</v>
      </c>
      <c r="B957" t="s">
        <v>3</v>
      </c>
      <c r="C957" t="s">
        <v>4</v>
      </c>
      <c r="D957" t="s">
        <v>5</v>
      </c>
      <c r="E957" t="s">
        <v>6</v>
      </c>
      <c r="F957" t="s">
        <v>7</v>
      </c>
      <c r="G957" t="s">
        <v>8</v>
      </c>
      <c r="H957" s="52" t="s">
        <v>161</v>
      </c>
    </row>
    <row r="958" spans="1:9" x14ac:dyDescent="0.55000000000000004">
      <c r="A958" s="6" t="s">
        <v>9</v>
      </c>
      <c r="B958" s="9">
        <v>55</v>
      </c>
      <c r="C958" s="9">
        <v>65</v>
      </c>
      <c r="D958" s="21" t="s">
        <v>37</v>
      </c>
      <c r="E958" s="9">
        <v>1</v>
      </c>
      <c r="F958" s="9" t="s">
        <v>35</v>
      </c>
      <c r="G958" s="9"/>
      <c r="H958" s="66"/>
    </row>
    <row r="959" spans="1:9" x14ac:dyDescent="0.55000000000000004">
      <c r="A959" s="8" t="s">
        <v>10</v>
      </c>
      <c r="B959" s="9">
        <v>56</v>
      </c>
      <c r="C959" s="9">
        <v>69</v>
      </c>
      <c r="D959" s="21" t="s">
        <v>37</v>
      </c>
      <c r="E959" s="9">
        <v>1</v>
      </c>
      <c r="F959" s="9" t="s">
        <v>36</v>
      </c>
      <c r="G959" s="9"/>
      <c r="H959" s="16"/>
    </row>
    <row r="960" spans="1:9" x14ac:dyDescent="0.55000000000000004">
      <c r="A960" s="10" t="s">
        <v>11</v>
      </c>
      <c r="B960" s="9">
        <v>54</v>
      </c>
      <c r="C960" s="9">
        <v>73</v>
      </c>
      <c r="D960" s="21" t="s">
        <v>37</v>
      </c>
      <c r="E960" s="9">
        <v>1</v>
      </c>
      <c r="F960" s="9" t="s">
        <v>36</v>
      </c>
      <c r="G960" s="9"/>
      <c r="H960" s="18"/>
    </row>
    <row r="961" spans="1:8" ht="14.7" thickBot="1" x14ac:dyDescent="0.6">
      <c r="A961" s="11" t="s">
        <v>12</v>
      </c>
      <c r="B961" s="22">
        <v>55</v>
      </c>
      <c r="C961" s="22">
        <v>70</v>
      </c>
      <c r="D961" s="23" t="s">
        <v>37</v>
      </c>
      <c r="E961" s="14">
        <v>1</v>
      </c>
      <c r="F961" s="14" t="s">
        <v>36</v>
      </c>
      <c r="G961" s="14">
        <v>564</v>
      </c>
      <c r="H961" s="27">
        <f>Tabla2691623[[#This Row],[Total cluster weight (g)]]/COUNTA(A958:A961)</f>
        <v>141</v>
      </c>
    </row>
    <row r="962" spans="1:8" x14ac:dyDescent="0.55000000000000004">
      <c r="A962" s="6" t="s">
        <v>13</v>
      </c>
      <c r="B962" s="9">
        <v>53</v>
      </c>
      <c r="C962" s="9">
        <v>65</v>
      </c>
      <c r="D962" s="21" t="s">
        <v>37</v>
      </c>
      <c r="E962" s="9">
        <v>2</v>
      </c>
      <c r="F962" s="9" t="s">
        <v>35</v>
      </c>
      <c r="G962" s="9"/>
      <c r="H962" s="66"/>
    </row>
    <row r="963" spans="1:8" x14ac:dyDescent="0.55000000000000004">
      <c r="A963" s="10" t="s">
        <v>41</v>
      </c>
      <c r="B963" s="9">
        <v>57</v>
      </c>
      <c r="C963" s="9">
        <v>67</v>
      </c>
      <c r="D963" s="21" t="s">
        <v>37</v>
      </c>
      <c r="E963" s="9">
        <v>2</v>
      </c>
      <c r="F963" s="9" t="s">
        <v>35</v>
      </c>
      <c r="G963" s="9"/>
      <c r="H963" s="16"/>
    </row>
    <row r="964" spans="1:8" x14ac:dyDescent="0.55000000000000004">
      <c r="A964" s="10" t="s">
        <v>42</v>
      </c>
      <c r="B964" s="9">
        <v>54</v>
      </c>
      <c r="C964" s="9">
        <v>66</v>
      </c>
      <c r="D964" s="21" t="s">
        <v>37</v>
      </c>
      <c r="E964" s="9">
        <v>2</v>
      </c>
      <c r="F964" s="9" t="s">
        <v>35</v>
      </c>
      <c r="G964" s="9"/>
      <c r="H964" s="18"/>
    </row>
    <row r="965" spans="1:8" x14ac:dyDescent="0.55000000000000004">
      <c r="A965" s="34" t="s">
        <v>43</v>
      </c>
      <c r="B965" s="9">
        <v>55</v>
      </c>
      <c r="C965" s="9">
        <v>67</v>
      </c>
      <c r="D965" s="21" t="s">
        <v>37</v>
      </c>
      <c r="E965" s="9">
        <v>2</v>
      </c>
      <c r="F965" s="9" t="s">
        <v>36</v>
      </c>
      <c r="G965" s="9"/>
      <c r="H965" s="16"/>
    </row>
    <row r="966" spans="1:8" ht="14.7" thickBot="1" x14ac:dyDescent="0.6">
      <c r="A966" s="35" t="s">
        <v>47</v>
      </c>
      <c r="B966" s="14">
        <v>46</v>
      </c>
      <c r="C966" s="14">
        <v>59</v>
      </c>
      <c r="D966" s="23" t="s">
        <v>37</v>
      </c>
      <c r="E966" s="14">
        <v>2</v>
      </c>
      <c r="F966" s="14" t="s">
        <v>36</v>
      </c>
      <c r="G966" s="14">
        <v>613.5</v>
      </c>
      <c r="H966" s="27">
        <f>Tabla2691623[[#This Row],[Total cluster weight (g)]]/COUNTA(A962:A966)</f>
        <v>122.7</v>
      </c>
    </row>
    <row r="967" spans="1:8" x14ac:dyDescent="0.55000000000000004">
      <c r="A967" s="6" t="s">
        <v>48</v>
      </c>
      <c r="B967" s="7">
        <v>51</v>
      </c>
      <c r="C967" s="7">
        <v>63</v>
      </c>
      <c r="D967" s="21" t="s">
        <v>37</v>
      </c>
      <c r="E967" s="9">
        <v>3</v>
      </c>
      <c r="F967" s="9" t="s">
        <v>36</v>
      </c>
      <c r="G967" s="9"/>
      <c r="H967" s="68"/>
    </row>
    <row r="968" spans="1:8" x14ac:dyDescent="0.55000000000000004">
      <c r="A968" s="8" t="s">
        <v>49</v>
      </c>
      <c r="B968" s="9">
        <v>51</v>
      </c>
      <c r="C968" s="9">
        <v>61</v>
      </c>
      <c r="D968" s="21" t="s">
        <v>37</v>
      </c>
      <c r="E968" s="9">
        <v>3</v>
      </c>
      <c r="F968" s="9" t="s">
        <v>36</v>
      </c>
      <c r="G968" s="9"/>
      <c r="H968" s="18"/>
    </row>
    <row r="969" spans="1:8" x14ac:dyDescent="0.55000000000000004">
      <c r="A969" s="10" t="s">
        <v>50</v>
      </c>
      <c r="B969" s="9">
        <v>52</v>
      </c>
      <c r="C969" s="9">
        <v>62</v>
      </c>
      <c r="D969" s="21" t="s">
        <v>37</v>
      </c>
      <c r="E969" s="9">
        <v>3</v>
      </c>
      <c r="F969" s="9" t="s">
        <v>36</v>
      </c>
      <c r="G969" s="9"/>
      <c r="H969" s="16"/>
    </row>
    <row r="970" spans="1:8" x14ac:dyDescent="0.55000000000000004">
      <c r="A970" s="11" t="s">
        <v>51</v>
      </c>
      <c r="B970" s="12">
        <v>53</v>
      </c>
      <c r="C970" s="12">
        <v>64</v>
      </c>
      <c r="D970" s="21" t="s">
        <v>37</v>
      </c>
      <c r="E970" s="9">
        <v>3</v>
      </c>
      <c r="F970" s="9" t="s">
        <v>36</v>
      </c>
      <c r="G970" s="9"/>
      <c r="H970" s="18"/>
    </row>
    <row r="971" spans="1:8" ht="14.7" thickBot="1" x14ac:dyDescent="0.6">
      <c r="A971" s="13" t="s">
        <v>52</v>
      </c>
      <c r="B971" s="14">
        <v>52</v>
      </c>
      <c r="C971" s="14">
        <v>63</v>
      </c>
      <c r="D971" s="23" t="s">
        <v>37</v>
      </c>
      <c r="E971" s="14">
        <v>3</v>
      </c>
      <c r="F971" s="14" t="s">
        <v>36</v>
      </c>
      <c r="G971" s="14">
        <v>527.5</v>
      </c>
      <c r="H971" s="27">
        <f>Tabla2691623[[#This Row],[Total cluster weight (g)]]/COUNTA(A967:A971)</f>
        <v>105.5</v>
      </c>
    </row>
    <row r="972" spans="1:8" x14ac:dyDescent="0.55000000000000004">
      <c r="A972" s="6" t="s">
        <v>53</v>
      </c>
      <c r="B972" s="7">
        <v>52</v>
      </c>
      <c r="C972" s="7">
        <v>62</v>
      </c>
      <c r="D972" s="21" t="s">
        <v>37</v>
      </c>
      <c r="E972" s="9">
        <v>4</v>
      </c>
      <c r="F972" s="9" t="s">
        <v>36</v>
      </c>
      <c r="G972" s="9"/>
      <c r="H972" s="66"/>
    </row>
    <row r="973" spans="1:8" x14ac:dyDescent="0.55000000000000004">
      <c r="A973" s="8" t="s">
        <v>80</v>
      </c>
      <c r="B973" s="9">
        <v>56</v>
      </c>
      <c r="C973" s="9">
        <v>66</v>
      </c>
      <c r="D973" s="21" t="s">
        <v>37</v>
      </c>
      <c r="E973" s="9">
        <v>4</v>
      </c>
      <c r="F973" s="9" t="s">
        <v>36</v>
      </c>
      <c r="G973" s="9"/>
      <c r="H973" s="5"/>
    </row>
    <row r="974" spans="1:8" x14ac:dyDescent="0.55000000000000004">
      <c r="A974" s="10" t="s">
        <v>81</v>
      </c>
      <c r="B974" s="9">
        <v>56</v>
      </c>
      <c r="C974" s="9">
        <v>64</v>
      </c>
      <c r="D974" s="21" t="s">
        <v>37</v>
      </c>
      <c r="E974" s="9">
        <v>4</v>
      </c>
      <c r="F974" s="9" t="s">
        <v>36</v>
      </c>
      <c r="G974" s="9"/>
      <c r="H974" s="5"/>
    </row>
    <row r="975" spans="1:8" x14ac:dyDescent="0.55000000000000004">
      <c r="A975" s="8" t="s">
        <v>66</v>
      </c>
      <c r="B975" s="9">
        <v>55</v>
      </c>
      <c r="C975" s="9">
        <v>63</v>
      </c>
      <c r="D975" s="21" t="s">
        <v>37</v>
      </c>
      <c r="E975" s="9">
        <v>4</v>
      </c>
      <c r="F975" s="9" t="s">
        <v>36</v>
      </c>
      <c r="G975" s="9"/>
      <c r="H975" s="5"/>
    </row>
    <row r="976" spans="1:8" ht="14.7" thickBot="1" x14ac:dyDescent="0.6">
      <c r="A976" s="13" t="s">
        <v>67</v>
      </c>
      <c r="B976" s="14">
        <v>60</v>
      </c>
      <c r="C976" s="14">
        <v>67</v>
      </c>
      <c r="D976" s="23" t="s">
        <v>37</v>
      </c>
      <c r="E976" s="14">
        <v>4</v>
      </c>
      <c r="F976" s="14" t="s">
        <v>36</v>
      </c>
      <c r="G976" s="14">
        <v>611</v>
      </c>
      <c r="H976" s="27">
        <f>Tabla2691623[[#This Row],[Total cluster weight (g)]]/COUNTA(A972:A976)</f>
        <v>122.2</v>
      </c>
    </row>
    <row r="977" spans="1:9" x14ac:dyDescent="0.55000000000000004">
      <c r="A977" s="11" t="s">
        <v>147</v>
      </c>
      <c r="B977" s="12">
        <v>52</v>
      </c>
      <c r="C977" s="12">
        <v>64</v>
      </c>
      <c r="D977" s="28" t="s">
        <v>37</v>
      </c>
      <c r="E977" s="12">
        <v>5</v>
      </c>
      <c r="F977" s="12" t="s">
        <v>35</v>
      </c>
      <c r="G977" s="12"/>
      <c r="H977" s="5"/>
      <c r="I977" t="s">
        <v>56</v>
      </c>
    </row>
    <row r="978" spans="1:9" x14ac:dyDescent="0.55000000000000004">
      <c r="A978" s="8" t="s">
        <v>148</v>
      </c>
      <c r="B978" s="9">
        <v>56</v>
      </c>
      <c r="C978" s="9">
        <v>66</v>
      </c>
      <c r="D978" s="21" t="s">
        <v>37</v>
      </c>
      <c r="E978" s="12">
        <v>5</v>
      </c>
      <c r="F978" s="9" t="s">
        <v>36</v>
      </c>
      <c r="G978" s="12"/>
      <c r="H978" s="5"/>
    </row>
    <row r="979" spans="1:9" x14ac:dyDescent="0.55000000000000004">
      <c r="A979" s="10" t="s">
        <v>149</v>
      </c>
      <c r="B979" s="9">
        <v>57</v>
      </c>
      <c r="C979" s="9">
        <v>70</v>
      </c>
      <c r="D979" s="21" t="s">
        <v>37</v>
      </c>
      <c r="E979" s="12">
        <v>5</v>
      </c>
      <c r="F979" s="9" t="s">
        <v>36</v>
      </c>
      <c r="G979" s="12"/>
      <c r="H979" s="5"/>
    </row>
    <row r="980" spans="1:9" x14ac:dyDescent="0.55000000000000004">
      <c r="A980" s="11" t="s">
        <v>93</v>
      </c>
      <c r="B980" s="12">
        <v>57</v>
      </c>
      <c r="C980" s="12">
        <v>69</v>
      </c>
      <c r="D980" s="21" t="s">
        <v>37</v>
      </c>
      <c r="E980" s="12">
        <v>5</v>
      </c>
      <c r="F980" s="9" t="s">
        <v>36</v>
      </c>
      <c r="G980" s="12"/>
      <c r="H980" s="5"/>
    </row>
    <row r="981" spans="1:9" ht="14.7" thickBot="1" x14ac:dyDescent="0.6">
      <c r="A981" s="13" t="s">
        <v>94</v>
      </c>
      <c r="B981" s="14">
        <v>56</v>
      </c>
      <c r="C981" s="14">
        <v>69</v>
      </c>
      <c r="D981" s="23" t="s">
        <v>37</v>
      </c>
      <c r="E981" s="14">
        <v>5</v>
      </c>
      <c r="F981" s="14" t="s">
        <v>36</v>
      </c>
      <c r="G981" s="14">
        <v>698.5</v>
      </c>
      <c r="H981" s="27">
        <f>Tabla2691623[[#This Row],[Total cluster weight (g)]]/COUNTA(A977:A981)</f>
        <v>139.69999999999999</v>
      </c>
    </row>
    <row r="982" spans="1:9" x14ac:dyDescent="0.55000000000000004">
      <c r="A982" s="11" t="s">
        <v>95</v>
      </c>
      <c r="B982" s="12">
        <v>54</v>
      </c>
      <c r="C982" s="12">
        <v>68</v>
      </c>
      <c r="D982" s="28" t="s">
        <v>37</v>
      </c>
      <c r="E982" s="12">
        <v>6</v>
      </c>
      <c r="F982" s="12" t="s">
        <v>35</v>
      </c>
      <c r="G982" s="12"/>
      <c r="H982" s="5"/>
    </row>
    <row r="983" spans="1:9" x14ac:dyDescent="0.55000000000000004">
      <c r="A983" s="8" t="s">
        <v>144</v>
      </c>
      <c r="B983" s="9">
        <v>55</v>
      </c>
      <c r="C983" s="9">
        <v>68</v>
      </c>
      <c r="D983" s="21" t="s">
        <v>37</v>
      </c>
      <c r="E983" s="9">
        <v>6</v>
      </c>
      <c r="F983" s="9" t="s">
        <v>35</v>
      </c>
      <c r="G983" s="9"/>
      <c r="H983" s="5"/>
    </row>
    <row r="984" spans="1:9" x14ac:dyDescent="0.55000000000000004">
      <c r="A984" s="10" t="s">
        <v>150</v>
      </c>
      <c r="B984" s="9">
        <v>55</v>
      </c>
      <c r="C984" s="9">
        <v>65</v>
      </c>
      <c r="D984" s="21" t="s">
        <v>37</v>
      </c>
      <c r="E984" s="9">
        <v>6</v>
      </c>
      <c r="F984" s="9" t="s">
        <v>35</v>
      </c>
      <c r="G984" s="9"/>
      <c r="H984" s="5"/>
    </row>
    <row r="985" spans="1:9" x14ac:dyDescent="0.55000000000000004">
      <c r="A985" s="11" t="s">
        <v>151</v>
      </c>
      <c r="B985" s="12">
        <v>61</v>
      </c>
      <c r="C985" s="12">
        <v>72</v>
      </c>
      <c r="D985" s="21" t="s">
        <v>37</v>
      </c>
      <c r="E985" s="9">
        <v>6</v>
      </c>
      <c r="F985" s="12" t="s">
        <v>36</v>
      </c>
      <c r="G985" s="9"/>
      <c r="H985" s="5"/>
    </row>
    <row r="986" spans="1:9" ht="14.7" thickBot="1" x14ac:dyDescent="0.6">
      <c r="A986" s="13" t="s">
        <v>152</v>
      </c>
      <c r="B986" s="14">
        <v>60</v>
      </c>
      <c r="C986" s="14">
        <v>76</v>
      </c>
      <c r="D986" s="23" t="s">
        <v>37</v>
      </c>
      <c r="E986" s="14">
        <v>6</v>
      </c>
      <c r="F986" s="14" t="s">
        <v>36</v>
      </c>
      <c r="G986" s="14">
        <v>737.5</v>
      </c>
      <c r="H986" s="27">
        <f>Tabla2691623[[#This Row],[Total cluster weight (g)]]/COUNTA(A982:A986)</f>
        <v>147.5</v>
      </c>
    </row>
    <row r="987" spans="1:9" x14ac:dyDescent="0.55000000000000004">
      <c r="A987" s="34" t="s">
        <v>153</v>
      </c>
      <c r="B987" s="12">
        <v>50</v>
      </c>
      <c r="C987" s="12">
        <v>59</v>
      </c>
      <c r="D987" s="28" t="s">
        <v>37</v>
      </c>
      <c r="E987" s="12">
        <v>7</v>
      </c>
      <c r="F987" s="12" t="s">
        <v>35</v>
      </c>
      <c r="G987" s="12"/>
      <c r="H987" s="118"/>
    </row>
    <row r="988" spans="1:9" x14ac:dyDescent="0.55000000000000004">
      <c r="A988" s="10" t="s">
        <v>158</v>
      </c>
      <c r="B988" s="9">
        <v>52</v>
      </c>
      <c r="C988" s="9">
        <v>60</v>
      </c>
      <c r="D988" s="21" t="s">
        <v>37</v>
      </c>
      <c r="E988" s="9">
        <v>7</v>
      </c>
      <c r="F988" s="9" t="s">
        <v>35</v>
      </c>
      <c r="G988" s="9"/>
      <c r="H988" s="89"/>
    </row>
    <row r="989" spans="1:9" x14ac:dyDescent="0.55000000000000004">
      <c r="A989" s="10" t="s">
        <v>215</v>
      </c>
      <c r="B989" s="9">
        <v>54</v>
      </c>
      <c r="C989" s="9">
        <v>62</v>
      </c>
      <c r="D989" s="21" t="s">
        <v>37</v>
      </c>
      <c r="E989" s="9">
        <v>7</v>
      </c>
      <c r="F989" s="9" t="s">
        <v>35</v>
      </c>
      <c r="G989" s="9"/>
      <c r="H989" s="89"/>
    </row>
    <row r="990" spans="1:9" x14ac:dyDescent="0.55000000000000004">
      <c r="A990" s="10" t="s">
        <v>216</v>
      </c>
      <c r="B990" s="9">
        <v>57</v>
      </c>
      <c r="C990" s="9">
        <v>67</v>
      </c>
      <c r="D990" s="21" t="s">
        <v>37</v>
      </c>
      <c r="E990" s="9">
        <v>7</v>
      </c>
      <c r="F990" s="9" t="s">
        <v>36</v>
      </c>
      <c r="G990" s="9"/>
      <c r="H990" s="89"/>
    </row>
    <row r="991" spans="1:9" ht="14.7" thickBot="1" x14ac:dyDescent="0.6">
      <c r="A991" s="35" t="s">
        <v>217</v>
      </c>
      <c r="B991" s="14">
        <v>56</v>
      </c>
      <c r="C991" s="14">
        <v>72</v>
      </c>
      <c r="D991" s="23" t="s">
        <v>37</v>
      </c>
      <c r="E991" s="14">
        <v>7</v>
      </c>
      <c r="F991" s="14" t="s">
        <v>36</v>
      </c>
      <c r="G991" s="14">
        <v>611</v>
      </c>
      <c r="H991" s="116">
        <f>Tabla2691623[[#This Row],[Total cluster weight (g)]]/COUNTA(A987:A991)</f>
        <v>122.2</v>
      </c>
    </row>
    <row r="992" spans="1:9" x14ac:dyDescent="0.55000000000000004">
      <c r="A992" s="34" t="s">
        <v>218</v>
      </c>
      <c r="B992" s="12">
        <v>55</v>
      </c>
      <c r="C992" s="12">
        <v>64</v>
      </c>
      <c r="D992" s="28" t="s">
        <v>37</v>
      </c>
      <c r="E992" s="12">
        <v>8</v>
      </c>
      <c r="F992" s="12" t="s">
        <v>36</v>
      </c>
      <c r="G992" s="12"/>
      <c r="H992" s="118"/>
    </row>
    <row r="993" spans="1:9" x14ac:dyDescent="0.55000000000000004">
      <c r="A993" s="10" t="s">
        <v>219</v>
      </c>
      <c r="B993" s="9">
        <v>55</v>
      </c>
      <c r="C993" s="9">
        <v>66</v>
      </c>
      <c r="D993" s="21" t="s">
        <v>37</v>
      </c>
      <c r="E993" s="9">
        <v>8</v>
      </c>
      <c r="F993" s="9" t="s">
        <v>36</v>
      </c>
      <c r="G993" s="9"/>
      <c r="H993" s="89"/>
    </row>
    <row r="994" spans="1:9" x14ac:dyDescent="0.55000000000000004">
      <c r="A994" s="10" t="s">
        <v>222</v>
      </c>
      <c r="B994" s="9">
        <v>55</v>
      </c>
      <c r="C994" s="9">
        <v>67</v>
      </c>
      <c r="D994" s="21" t="s">
        <v>37</v>
      </c>
      <c r="E994" s="9">
        <v>8</v>
      </c>
      <c r="F994" s="9" t="s">
        <v>36</v>
      </c>
      <c r="G994" s="9"/>
      <c r="H994" s="89"/>
    </row>
    <row r="995" spans="1:9" x14ac:dyDescent="0.55000000000000004">
      <c r="A995" s="10" t="s">
        <v>223</v>
      </c>
      <c r="B995" s="9">
        <v>58</v>
      </c>
      <c r="C995" s="9">
        <v>66</v>
      </c>
      <c r="D995" s="21" t="s">
        <v>37</v>
      </c>
      <c r="E995" s="9">
        <v>8</v>
      </c>
      <c r="F995" s="9" t="s">
        <v>36</v>
      </c>
      <c r="G995" s="9"/>
      <c r="H995" s="89"/>
    </row>
    <row r="996" spans="1:9" x14ac:dyDescent="0.55000000000000004">
      <c r="A996" s="10" t="s">
        <v>232</v>
      </c>
      <c r="B996" s="9">
        <v>55</v>
      </c>
      <c r="C996" s="9">
        <v>69</v>
      </c>
      <c r="D996" s="21" t="s">
        <v>37</v>
      </c>
      <c r="E996" s="9">
        <v>8</v>
      </c>
      <c r="F996" s="9" t="s">
        <v>36</v>
      </c>
      <c r="G996" s="9"/>
      <c r="H996" s="89"/>
    </row>
    <row r="997" spans="1:9" ht="14.7" thickBot="1" x14ac:dyDescent="0.6">
      <c r="A997" s="35" t="s">
        <v>233</v>
      </c>
      <c r="B997" s="14">
        <v>56</v>
      </c>
      <c r="C997" s="14">
        <v>72</v>
      </c>
      <c r="D997" s="23" t="s">
        <v>37</v>
      </c>
      <c r="E997" s="14">
        <v>8</v>
      </c>
      <c r="F997" s="14" t="s">
        <v>36</v>
      </c>
      <c r="G997" s="14">
        <v>836.5</v>
      </c>
      <c r="H997" s="116">
        <f>Tabla2691623[[#This Row],[Total cluster weight (g)]]/COUNTA(A992:A997)</f>
        <v>139.41666666666666</v>
      </c>
    </row>
    <row r="998" spans="1:9" x14ac:dyDescent="0.55000000000000004">
      <c r="A998" s="34" t="s">
        <v>234</v>
      </c>
      <c r="B998" s="12">
        <v>58</v>
      </c>
      <c r="C998" s="12">
        <v>66</v>
      </c>
      <c r="D998" s="28" t="s">
        <v>37</v>
      </c>
      <c r="E998" s="12">
        <v>9</v>
      </c>
      <c r="F998" s="12" t="s">
        <v>36</v>
      </c>
      <c r="G998" s="12"/>
      <c r="H998" s="118"/>
    </row>
    <row r="999" spans="1:9" x14ac:dyDescent="0.55000000000000004">
      <c r="A999" s="10" t="s">
        <v>235</v>
      </c>
      <c r="B999" s="9">
        <v>58</v>
      </c>
      <c r="C999" s="9">
        <v>66</v>
      </c>
      <c r="D999" s="21" t="s">
        <v>37</v>
      </c>
      <c r="E999" s="9">
        <v>9</v>
      </c>
      <c r="F999" s="9" t="s">
        <v>36</v>
      </c>
      <c r="G999" s="9"/>
      <c r="H999" s="89"/>
    </row>
    <row r="1000" spans="1:9" x14ac:dyDescent="0.55000000000000004">
      <c r="A1000" s="10" t="s">
        <v>236</v>
      </c>
      <c r="B1000" s="9">
        <v>58</v>
      </c>
      <c r="C1000" s="9">
        <v>71</v>
      </c>
      <c r="D1000" s="21" t="s">
        <v>37</v>
      </c>
      <c r="E1000" s="9">
        <v>9</v>
      </c>
      <c r="F1000" s="9" t="s">
        <v>36</v>
      </c>
      <c r="G1000" s="9"/>
      <c r="H1000" s="89"/>
    </row>
    <row r="1001" spans="1:9" x14ac:dyDescent="0.55000000000000004">
      <c r="A1001" s="10" t="s">
        <v>248</v>
      </c>
      <c r="B1001" s="9">
        <v>59</v>
      </c>
      <c r="C1001" s="9">
        <v>68</v>
      </c>
      <c r="D1001" s="21" t="s">
        <v>37</v>
      </c>
      <c r="E1001" s="9">
        <v>9</v>
      </c>
      <c r="F1001" s="9" t="s">
        <v>36</v>
      </c>
      <c r="G1001" s="9"/>
      <c r="H1001" s="89"/>
    </row>
    <row r="1002" spans="1:9" ht="14.7" thickBot="1" x14ac:dyDescent="0.6">
      <c r="A1002" s="35" t="s">
        <v>249</v>
      </c>
      <c r="B1002" s="14">
        <v>60</v>
      </c>
      <c r="C1002" s="14">
        <v>73</v>
      </c>
      <c r="D1002" s="23" t="s">
        <v>37</v>
      </c>
      <c r="E1002" s="14">
        <v>9</v>
      </c>
      <c r="F1002" s="14" t="s">
        <v>36</v>
      </c>
      <c r="G1002" s="14">
        <v>748</v>
      </c>
      <c r="H1002" s="116">
        <f>Tabla2691623[[#This Row],[Total cluster weight (g)]]/COUNTA(A998:A1002)</f>
        <v>149.6</v>
      </c>
    </row>
    <row r="1003" spans="1:9" x14ac:dyDescent="0.55000000000000004">
      <c r="A1003" s="34" t="s">
        <v>250</v>
      </c>
      <c r="B1003" s="12">
        <v>58</v>
      </c>
      <c r="C1003" s="12">
        <v>64</v>
      </c>
      <c r="D1003" s="28" t="s">
        <v>37</v>
      </c>
      <c r="E1003" s="12">
        <v>10</v>
      </c>
      <c r="F1003" s="12" t="s">
        <v>36</v>
      </c>
      <c r="G1003" s="12"/>
      <c r="H1003" s="118"/>
    </row>
    <row r="1004" spans="1:9" x14ac:dyDescent="0.55000000000000004">
      <c r="A1004" s="10" t="s">
        <v>255</v>
      </c>
      <c r="B1004" s="9">
        <v>51</v>
      </c>
      <c r="C1004" s="9">
        <v>61</v>
      </c>
      <c r="D1004" s="21" t="s">
        <v>37</v>
      </c>
      <c r="E1004" s="9">
        <v>10</v>
      </c>
      <c r="F1004" s="9" t="s">
        <v>36</v>
      </c>
      <c r="G1004" s="9"/>
      <c r="H1004" s="89"/>
    </row>
    <row r="1005" spans="1:9" x14ac:dyDescent="0.55000000000000004">
      <c r="A1005" s="10" t="s">
        <v>256</v>
      </c>
      <c r="B1005" s="9">
        <v>57</v>
      </c>
      <c r="C1005" s="9">
        <v>66</v>
      </c>
      <c r="D1005" s="21" t="s">
        <v>37</v>
      </c>
      <c r="E1005" s="9">
        <v>10</v>
      </c>
      <c r="F1005" s="9" t="s">
        <v>36</v>
      </c>
      <c r="G1005" s="9"/>
      <c r="H1005" s="89"/>
    </row>
    <row r="1006" spans="1:9" ht="14.7" thickBot="1" x14ac:dyDescent="0.6">
      <c r="A1006" s="35" t="s">
        <v>260</v>
      </c>
      <c r="B1006" s="14">
        <v>58</v>
      </c>
      <c r="C1006" s="14">
        <v>69</v>
      </c>
      <c r="D1006" s="23" t="s">
        <v>37</v>
      </c>
      <c r="E1006" s="14">
        <v>10</v>
      </c>
      <c r="F1006" s="14" t="s">
        <v>36</v>
      </c>
      <c r="G1006" s="14">
        <v>517</v>
      </c>
      <c r="H1006" s="116">
        <f>Tabla2691623[[#This Row],[Total cluster weight (g)]]/COUNTA(A1003:A1006)</f>
        <v>129.25</v>
      </c>
    </row>
    <row r="1007" spans="1:9" x14ac:dyDescent="0.55000000000000004">
      <c r="A1007" s="6" t="s">
        <v>305</v>
      </c>
      <c r="B1007" s="7">
        <v>43</v>
      </c>
      <c r="C1007" s="7">
        <v>49</v>
      </c>
      <c r="D1007" s="9" t="s">
        <v>37</v>
      </c>
      <c r="E1007" s="9">
        <v>11</v>
      </c>
      <c r="F1007" s="20" t="s">
        <v>61</v>
      </c>
      <c r="G1007" s="9"/>
      <c r="H1007" s="157"/>
      <c r="I1007" t="s">
        <v>56</v>
      </c>
    </row>
    <row r="1008" spans="1:9" x14ac:dyDescent="0.55000000000000004">
      <c r="A1008" s="8" t="s">
        <v>306</v>
      </c>
      <c r="B1008" s="9">
        <v>55</v>
      </c>
      <c r="C1008" s="9">
        <v>63</v>
      </c>
      <c r="D1008" s="9" t="s">
        <v>37</v>
      </c>
      <c r="E1008" s="9">
        <v>11</v>
      </c>
      <c r="F1008" s="9" t="s">
        <v>68</v>
      </c>
      <c r="G1008" s="9"/>
      <c r="H1008" s="157"/>
    </row>
    <row r="1009" spans="1:9" x14ac:dyDescent="0.55000000000000004">
      <c r="A1009" s="10" t="s">
        <v>307</v>
      </c>
      <c r="B1009" s="9">
        <v>56</v>
      </c>
      <c r="C1009" s="9">
        <v>61</v>
      </c>
      <c r="D1009" s="9" t="s">
        <v>37</v>
      </c>
      <c r="E1009" s="9">
        <v>11</v>
      </c>
      <c r="F1009" s="9" t="s">
        <v>35</v>
      </c>
      <c r="G1009" s="9"/>
      <c r="H1009" s="157"/>
    </row>
    <row r="1010" spans="1:9" x14ac:dyDescent="0.55000000000000004">
      <c r="A1010" s="11" t="s">
        <v>283</v>
      </c>
      <c r="B1010" s="12">
        <v>59</v>
      </c>
      <c r="C1010" s="12">
        <v>70</v>
      </c>
      <c r="D1010" s="9" t="s">
        <v>37</v>
      </c>
      <c r="E1010" s="9">
        <v>11</v>
      </c>
      <c r="F1010" s="9" t="s">
        <v>36</v>
      </c>
      <c r="G1010" s="9"/>
      <c r="H1010" s="157"/>
    </row>
    <row r="1011" spans="1:9" x14ac:dyDescent="0.55000000000000004">
      <c r="A1011" s="10" t="s">
        <v>298</v>
      </c>
      <c r="B1011" s="9">
        <v>57</v>
      </c>
      <c r="C1011" s="9">
        <v>72</v>
      </c>
      <c r="D1011" s="9" t="s">
        <v>37</v>
      </c>
      <c r="E1011" s="9">
        <v>11</v>
      </c>
      <c r="F1011" s="9" t="s">
        <v>36</v>
      </c>
      <c r="G1011" s="9"/>
      <c r="H1011" s="157"/>
    </row>
    <row r="1012" spans="1:9" ht="14.7" thickBot="1" x14ac:dyDescent="0.6">
      <c r="A1012" s="13" t="s">
        <v>299</v>
      </c>
      <c r="B1012" s="14">
        <v>56</v>
      </c>
      <c r="C1012" s="14">
        <v>71</v>
      </c>
      <c r="D1012" s="14" t="s">
        <v>37</v>
      </c>
      <c r="E1012" s="14">
        <v>11</v>
      </c>
      <c r="F1012" s="22" t="s">
        <v>36</v>
      </c>
      <c r="G1012" s="14">
        <v>761.5</v>
      </c>
      <c r="H1012" s="112">
        <f>Tabla2691623[[#This Row],[Total cluster weight (g)]]/COUNTA(A1007:A1012)</f>
        <v>126.91666666666667</v>
      </c>
    </row>
    <row r="1013" spans="1:9" x14ac:dyDescent="0.55000000000000004">
      <c r="A1013" s="29"/>
      <c r="B1013" s="30"/>
      <c r="C1013" s="4"/>
      <c r="D1013" s="31"/>
      <c r="E1013" s="4"/>
      <c r="F1013" s="4"/>
      <c r="G1013" s="4"/>
    </row>
    <row r="1014" spans="1:9" x14ac:dyDescent="0.55000000000000004">
      <c r="A1014" s="59" t="s">
        <v>209</v>
      </c>
      <c r="B1014" s="55" t="s">
        <v>162</v>
      </c>
      <c r="C1014" s="55" t="s">
        <v>163</v>
      </c>
      <c r="D1014" s="55" t="s">
        <v>164</v>
      </c>
      <c r="E1014" s="55" t="s">
        <v>165</v>
      </c>
      <c r="F1014" s="56" t="s">
        <v>189</v>
      </c>
      <c r="G1014" s="110" t="s">
        <v>230</v>
      </c>
    </row>
    <row r="1015" spans="1:9" x14ac:dyDescent="0.55000000000000004">
      <c r="A1015" s="60" t="s">
        <v>166</v>
      </c>
      <c r="B1015" s="57">
        <f>AVERAGE(Tabla2691623[Height (mm)])</f>
        <v>55.127272727272725</v>
      </c>
      <c r="C1015" s="57">
        <f>AVERAGE(Tabla2691623[Width (mm)])</f>
        <v>66.127272727272725</v>
      </c>
      <c r="D1015" s="57">
        <f>MAX(Tabla2691623[[Cluster number ]])</f>
        <v>11</v>
      </c>
      <c r="E1015" s="57">
        <f>AVERAGE(Tabla2691623[Tomato average weight per cluster])</f>
        <v>131.45303030303032</v>
      </c>
      <c r="F1015" s="58">
        <f>COUNTA(Tabla2691623["L20" PLANT])</f>
        <v>55</v>
      </c>
      <c r="G1015" s="109">
        <f>SUM(Tabla2691623[Total cluster weight (g)])</f>
        <v>7226</v>
      </c>
    </row>
    <row r="1017" spans="1:9" ht="14.7" thickBot="1" x14ac:dyDescent="0.6">
      <c r="A1017" s="5" t="s">
        <v>121</v>
      </c>
      <c r="B1017" t="s">
        <v>3</v>
      </c>
      <c r="C1017" t="s">
        <v>4</v>
      </c>
      <c r="D1017" t="s">
        <v>5</v>
      </c>
      <c r="E1017" t="s">
        <v>6</v>
      </c>
      <c r="F1017" t="s">
        <v>7</v>
      </c>
      <c r="G1017" t="s">
        <v>8</v>
      </c>
      <c r="H1017" s="52" t="s">
        <v>161</v>
      </c>
    </row>
    <row r="1018" spans="1:9" x14ac:dyDescent="0.55000000000000004">
      <c r="A1018" s="6" t="s">
        <v>9</v>
      </c>
      <c r="B1018" s="9">
        <v>53</v>
      </c>
      <c r="C1018" s="9">
        <v>64</v>
      </c>
      <c r="D1018" s="21" t="s">
        <v>37</v>
      </c>
      <c r="E1018" s="9">
        <v>1</v>
      </c>
      <c r="F1018" s="9" t="s">
        <v>35</v>
      </c>
      <c r="G1018" s="9"/>
      <c r="H1018" s="66"/>
    </row>
    <row r="1019" spans="1:9" x14ac:dyDescent="0.55000000000000004">
      <c r="A1019" s="8" t="s">
        <v>10</v>
      </c>
      <c r="B1019" s="9">
        <v>54</v>
      </c>
      <c r="C1019" s="9">
        <v>64</v>
      </c>
      <c r="D1019" s="21" t="s">
        <v>37</v>
      </c>
      <c r="E1019" s="9">
        <v>1</v>
      </c>
      <c r="F1019" s="9" t="s">
        <v>36</v>
      </c>
      <c r="G1019" s="9"/>
      <c r="H1019" s="16"/>
    </row>
    <row r="1020" spans="1:9" x14ac:dyDescent="0.55000000000000004">
      <c r="A1020" s="10" t="s">
        <v>11</v>
      </c>
      <c r="B1020" s="9">
        <v>54</v>
      </c>
      <c r="C1020" s="9">
        <v>63</v>
      </c>
      <c r="D1020" s="21" t="s">
        <v>37</v>
      </c>
      <c r="E1020" s="9">
        <v>1</v>
      </c>
      <c r="F1020" s="9" t="s">
        <v>36</v>
      </c>
      <c r="G1020" s="9"/>
      <c r="H1020" s="18"/>
    </row>
    <row r="1021" spans="1:9" ht="14.7" thickBot="1" x14ac:dyDescent="0.6">
      <c r="A1021" s="13" t="s">
        <v>12</v>
      </c>
      <c r="B1021" s="22">
        <v>54</v>
      </c>
      <c r="C1021" s="22">
        <v>66</v>
      </c>
      <c r="D1021" s="26" t="s">
        <v>37</v>
      </c>
      <c r="E1021" s="22">
        <v>1</v>
      </c>
      <c r="F1021" s="22" t="s">
        <v>36</v>
      </c>
      <c r="G1021" s="14">
        <v>479</v>
      </c>
      <c r="H1021" s="27">
        <f>Tabla2691624[[#This Row],[Total cluster weight (g)]]/COUNTA(A1018:A1021)</f>
        <v>119.75</v>
      </c>
    </row>
    <row r="1022" spans="1:9" x14ac:dyDescent="0.55000000000000004">
      <c r="A1022" s="34" t="s">
        <v>13</v>
      </c>
      <c r="B1022" s="9">
        <v>56</v>
      </c>
      <c r="C1022" s="9">
        <v>66</v>
      </c>
      <c r="D1022" s="21" t="s">
        <v>37</v>
      </c>
      <c r="E1022" s="9">
        <v>2</v>
      </c>
      <c r="F1022" s="9" t="s">
        <v>36</v>
      </c>
      <c r="G1022" s="9"/>
      <c r="H1022" s="66"/>
    </row>
    <row r="1023" spans="1:9" x14ac:dyDescent="0.55000000000000004">
      <c r="A1023" s="10" t="s">
        <v>41</v>
      </c>
      <c r="B1023" s="9">
        <v>55</v>
      </c>
      <c r="C1023" s="9">
        <v>61</v>
      </c>
      <c r="D1023" s="21" t="s">
        <v>37</v>
      </c>
      <c r="E1023" s="9">
        <v>2</v>
      </c>
      <c r="F1023" s="9" t="s">
        <v>36</v>
      </c>
      <c r="G1023" s="9"/>
      <c r="H1023" s="16"/>
    </row>
    <row r="1024" spans="1:9" x14ac:dyDescent="0.55000000000000004">
      <c r="A1024" s="34" t="s">
        <v>123</v>
      </c>
      <c r="B1024" s="9">
        <v>46</v>
      </c>
      <c r="C1024" s="9">
        <v>56</v>
      </c>
      <c r="D1024" s="21">
        <v>78.5</v>
      </c>
      <c r="E1024" s="12">
        <v>2</v>
      </c>
      <c r="F1024" s="12" t="s">
        <v>36</v>
      </c>
      <c r="G1024" s="9"/>
      <c r="H1024" s="18"/>
      <c r="I1024" t="s">
        <v>38</v>
      </c>
    </row>
    <row r="1025" spans="1:9" x14ac:dyDescent="0.55000000000000004">
      <c r="A1025" s="10" t="s">
        <v>124</v>
      </c>
      <c r="B1025" s="9">
        <v>57</v>
      </c>
      <c r="C1025" s="9">
        <v>69</v>
      </c>
      <c r="D1025" s="21">
        <v>150</v>
      </c>
      <c r="E1025" s="9">
        <v>2</v>
      </c>
      <c r="F1025" s="9" t="s">
        <v>36</v>
      </c>
      <c r="G1025" s="9"/>
      <c r="H1025" s="16"/>
      <c r="I1025" t="s">
        <v>38</v>
      </c>
    </row>
    <row r="1026" spans="1:9" ht="14.7" thickBot="1" x14ac:dyDescent="0.6">
      <c r="A1026" s="35" t="s">
        <v>44</v>
      </c>
      <c r="B1026" s="14">
        <v>51</v>
      </c>
      <c r="C1026" s="14">
        <v>65</v>
      </c>
      <c r="D1026" s="23">
        <v>115</v>
      </c>
      <c r="E1026" s="14">
        <v>2</v>
      </c>
      <c r="F1026" s="14" t="s">
        <v>36</v>
      </c>
      <c r="G1026" s="14">
        <v>589.5</v>
      </c>
      <c r="H1026" s="27">
        <f>Tabla2691624[[#This Row],[Total cluster weight (g)]]/COUNTA(A1022:A1026)</f>
        <v>117.9</v>
      </c>
      <c r="I1026" t="s">
        <v>38</v>
      </c>
    </row>
    <row r="1027" spans="1:9" x14ac:dyDescent="0.55000000000000004">
      <c r="A1027" s="6" t="s">
        <v>48</v>
      </c>
      <c r="B1027" s="7">
        <v>57</v>
      </c>
      <c r="C1027" s="7">
        <v>63</v>
      </c>
      <c r="D1027" s="28" t="s">
        <v>37</v>
      </c>
      <c r="E1027" s="9">
        <v>3</v>
      </c>
      <c r="F1027" s="9" t="s">
        <v>35</v>
      </c>
      <c r="G1027" s="9"/>
      <c r="H1027" s="68"/>
    </row>
    <row r="1028" spans="1:9" x14ac:dyDescent="0.55000000000000004">
      <c r="A1028" s="8" t="s">
        <v>49</v>
      </c>
      <c r="B1028" s="9">
        <v>58</v>
      </c>
      <c r="C1028" s="9">
        <v>60</v>
      </c>
      <c r="D1028" s="28" t="s">
        <v>37</v>
      </c>
      <c r="E1028" s="9">
        <v>3</v>
      </c>
      <c r="F1028" s="12" t="s">
        <v>36</v>
      </c>
      <c r="G1028" s="9"/>
      <c r="H1028" s="18"/>
    </row>
    <row r="1029" spans="1:9" x14ac:dyDescent="0.55000000000000004">
      <c r="A1029" s="10" t="s">
        <v>50</v>
      </c>
      <c r="B1029" s="9">
        <v>55</v>
      </c>
      <c r="C1029" s="9">
        <v>63</v>
      </c>
      <c r="D1029" s="28" t="s">
        <v>37</v>
      </c>
      <c r="E1029" s="9">
        <v>3</v>
      </c>
      <c r="F1029" s="12" t="s">
        <v>36</v>
      </c>
      <c r="G1029" s="9"/>
      <c r="H1029" s="16"/>
    </row>
    <row r="1030" spans="1:9" x14ac:dyDescent="0.55000000000000004">
      <c r="A1030" s="34" t="s">
        <v>51</v>
      </c>
      <c r="B1030" s="12">
        <v>56</v>
      </c>
      <c r="C1030" s="12">
        <v>67</v>
      </c>
      <c r="D1030" s="28" t="s">
        <v>37</v>
      </c>
      <c r="E1030" s="9">
        <v>3</v>
      </c>
      <c r="F1030" s="12" t="s">
        <v>36</v>
      </c>
      <c r="G1030" s="9"/>
      <c r="H1030" s="18"/>
    </row>
    <row r="1031" spans="1:9" ht="14.7" thickBot="1" x14ac:dyDescent="0.6">
      <c r="A1031" s="35" t="s">
        <v>52</v>
      </c>
      <c r="B1031" s="14">
        <v>54</v>
      </c>
      <c r="C1031" s="14">
        <v>70</v>
      </c>
      <c r="D1031" s="23" t="s">
        <v>37</v>
      </c>
      <c r="E1031" s="14">
        <v>3</v>
      </c>
      <c r="F1031" s="14" t="s">
        <v>36</v>
      </c>
      <c r="G1031" s="14">
        <v>610</v>
      </c>
      <c r="H1031" s="27">
        <f>Tabla2691624[[#This Row],[Total cluster weight (g)]]/COUNTA(A1027:A1031)</f>
        <v>122</v>
      </c>
    </row>
    <row r="1032" spans="1:9" x14ac:dyDescent="0.55000000000000004">
      <c r="A1032" s="11" t="s">
        <v>53</v>
      </c>
      <c r="B1032" s="12">
        <v>52</v>
      </c>
      <c r="C1032" s="12">
        <v>65</v>
      </c>
      <c r="D1032" s="28" t="s">
        <v>37</v>
      </c>
      <c r="E1032" s="12">
        <v>3</v>
      </c>
      <c r="F1032" s="12" t="s">
        <v>35</v>
      </c>
      <c r="G1032" s="12"/>
      <c r="H1032" s="66"/>
      <c r="I1032" t="s">
        <v>56</v>
      </c>
    </row>
    <row r="1033" spans="1:9" x14ac:dyDescent="0.55000000000000004">
      <c r="A1033" s="8" t="s">
        <v>80</v>
      </c>
      <c r="B1033" s="9">
        <v>56</v>
      </c>
      <c r="C1033" s="9">
        <v>65</v>
      </c>
      <c r="D1033" s="21" t="s">
        <v>37</v>
      </c>
      <c r="E1033" s="9">
        <v>3</v>
      </c>
      <c r="F1033" s="9" t="s">
        <v>36</v>
      </c>
      <c r="G1033" s="9"/>
      <c r="H1033" s="5"/>
    </row>
    <row r="1034" spans="1:9" x14ac:dyDescent="0.55000000000000004">
      <c r="A1034" s="10" t="s">
        <v>81</v>
      </c>
      <c r="B1034" s="9">
        <v>56</v>
      </c>
      <c r="C1034" s="9">
        <v>60</v>
      </c>
      <c r="D1034" s="21" t="s">
        <v>37</v>
      </c>
      <c r="E1034" s="9">
        <v>3</v>
      </c>
      <c r="F1034" s="9" t="s">
        <v>36</v>
      </c>
      <c r="G1034" s="9"/>
      <c r="H1034" s="5"/>
    </row>
    <row r="1035" spans="1:9" x14ac:dyDescent="0.55000000000000004">
      <c r="A1035" s="11" t="s">
        <v>66</v>
      </c>
      <c r="B1035" s="12">
        <v>58</v>
      </c>
      <c r="C1035" s="12">
        <v>67</v>
      </c>
      <c r="D1035" s="21" t="s">
        <v>37</v>
      </c>
      <c r="E1035" s="9">
        <v>3</v>
      </c>
      <c r="F1035" s="9" t="s">
        <v>36</v>
      </c>
      <c r="G1035" s="9"/>
      <c r="H1035" s="5"/>
    </row>
    <row r="1036" spans="1:9" ht="14.7" thickBot="1" x14ac:dyDescent="0.6">
      <c r="A1036" s="13" t="s">
        <v>67</v>
      </c>
      <c r="B1036" s="14">
        <v>56</v>
      </c>
      <c r="C1036" s="14">
        <v>66</v>
      </c>
      <c r="D1036" s="23" t="s">
        <v>37</v>
      </c>
      <c r="E1036" s="14">
        <v>3</v>
      </c>
      <c r="F1036" s="14" t="s">
        <v>36</v>
      </c>
      <c r="G1036" s="14">
        <v>636</v>
      </c>
      <c r="H1036" s="27">
        <f>Tabla2691624[[#This Row],[Total cluster weight (g)]]/COUNTA(A1032:A1036)</f>
        <v>127.2</v>
      </c>
    </row>
    <row r="1037" spans="1:9" x14ac:dyDescent="0.55000000000000004">
      <c r="A1037" s="11" t="s">
        <v>71</v>
      </c>
      <c r="B1037" s="12">
        <v>56</v>
      </c>
      <c r="C1037" s="12">
        <v>65</v>
      </c>
      <c r="D1037" s="28" t="s">
        <v>37</v>
      </c>
      <c r="E1037" s="12">
        <v>4</v>
      </c>
      <c r="F1037" s="12" t="s">
        <v>68</v>
      </c>
      <c r="G1037" s="12"/>
      <c r="H1037" s="5"/>
    </row>
    <row r="1038" spans="1:9" x14ac:dyDescent="0.55000000000000004">
      <c r="A1038" s="8" t="s">
        <v>89</v>
      </c>
      <c r="B1038" s="9">
        <v>58</v>
      </c>
      <c r="C1038" s="9">
        <v>66</v>
      </c>
      <c r="D1038" s="21" t="s">
        <v>37</v>
      </c>
      <c r="E1038" s="9">
        <v>4</v>
      </c>
      <c r="F1038" s="9" t="s">
        <v>35</v>
      </c>
      <c r="G1038" s="9"/>
      <c r="H1038" s="5"/>
    </row>
    <row r="1039" spans="1:9" x14ac:dyDescent="0.55000000000000004">
      <c r="A1039" s="10" t="s">
        <v>92</v>
      </c>
      <c r="B1039" s="9">
        <v>55</v>
      </c>
      <c r="C1039" s="9">
        <v>66</v>
      </c>
      <c r="D1039" s="21" t="s">
        <v>37</v>
      </c>
      <c r="E1039" s="9">
        <v>4</v>
      </c>
      <c r="F1039" s="9" t="s">
        <v>36</v>
      </c>
      <c r="G1039" s="9"/>
      <c r="H1039" s="5"/>
    </row>
    <row r="1040" spans="1:9" x14ac:dyDescent="0.55000000000000004">
      <c r="A1040" s="8" t="s">
        <v>93</v>
      </c>
      <c r="B1040" s="9">
        <v>55</v>
      </c>
      <c r="C1040" s="12">
        <v>70</v>
      </c>
      <c r="D1040" s="21" t="s">
        <v>37</v>
      </c>
      <c r="E1040" s="9">
        <v>4</v>
      </c>
      <c r="F1040" s="9" t="s">
        <v>36</v>
      </c>
      <c r="G1040" s="9"/>
      <c r="H1040" s="5"/>
    </row>
    <row r="1041" spans="1:8" ht="14.7" thickBot="1" x14ac:dyDescent="0.6">
      <c r="A1041" s="13" t="s">
        <v>94</v>
      </c>
      <c r="B1041" s="14">
        <v>55</v>
      </c>
      <c r="C1041" s="14">
        <v>66</v>
      </c>
      <c r="D1041" s="23" t="s">
        <v>37</v>
      </c>
      <c r="E1041" s="14">
        <v>4</v>
      </c>
      <c r="F1041" s="14" t="s">
        <v>36</v>
      </c>
      <c r="G1041" s="14">
        <v>627</v>
      </c>
      <c r="H1041" s="27">
        <f>Tabla2691624[[#This Row],[Total cluster weight (g)]]/COUNTA(A1037:A1041)</f>
        <v>125.4</v>
      </c>
    </row>
    <row r="1042" spans="1:8" x14ac:dyDescent="0.55000000000000004">
      <c r="A1042" s="6" t="s">
        <v>95</v>
      </c>
      <c r="B1042" s="7">
        <v>54</v>
      </c>
      <c r="C1042" s="7">
        <v>60</v>
      </c>
      <c r="D1042" s="21" t="s">
        <v>37</v>
      </c>
      <c r="E1042" s="9">
        <v>5</v>
      </c>
      <c r="F1042" s="9" t="s">
        <v>35</v>
      </c>
      <c r="G1042" s="9"/>
      <c r="H1042" s="96"/>
    </row>
    <row r="1043" spans="1:8" x14ac:dyDescent="0.55000000000000004">
      <c r="A1043" s="8" t="s">
        <v>144</v>
      </c>
      <c r="B1043" s="9">
        <v>57</v>
      </c>
      <c r="C1043" s="9">
        <v>66</v>
      </c>
      <c r="D1043" s="21" t="s">
        <v>37</v>
      </c>
      <c r="E1043" s="9">
        <v>5</v>
      </c>
      <c r="F1043" s="9" t="s">
        <v>36</v>
      </c>
      <c r="G1043" s="9"/>
      <c r="H1043" s="96"/>
    </row>
    <row r="1044" spans="1:8" x14ac:dyDescent="0.55000000000000004">
      <c r="A1044" s="10" t="s">
        <v>150</v>
      </c>
      <c r="B1044" s="9">
        <v>57</v>
      </c>
      <c r="C1044" s="9">
        <v>67</v>
      </c>
      <c r="D1044" s="21" t="s">
        <v>37</v>
      </c>
      <c r="E1044" s="9">
        <v>5</v>
      </c>
      <c r="F1044" s="9" t="s">
        <v>36</v>
      </c>
      <c r="G1044" s="9"/>
      <c r="H1044" s="96"/>
    </row>
    <row r="1045" spans="1:8" x14ac:dyDescent="0.55000000000000004">
      <c r="A1045" s="11" t="s">
        <v>151</v>
      </c>
      <c r="B1045" s="12">
        <v>56</v>
      </c>
      <c r="C1045" s="12">
        <v>68</v>
      </c>
      <c r="D1045" s="21" t="s">
        <v>37</v>
      </c>
      <c r="E1045" s="9">
        <v>5</v>
      </c>
      <c r="F1045" s="9" t="s">
        <v>36</v>
      </c>
      <c r="G1045" s="9"/>
      <c r="H1045" s="96"/>
    </row>
    <row r="1046" spans="1:8" ht="14.7" thickBot="1" x14ac:dyDescent="0.6">
      <c r="A1046" s="13" t="s">
        <v>152</v>
      </c>
      <c r="B1046" s="14">
        <v>59</v>
      </c>
      <c r="C1046" s="14">
        <v>68</v>
      </c>
      <c r="D1046" s="23" t="s">
        <v>37</v>
      </c>
      <c r="E1046" s="14">
        <v>5</v>
      </c>
      <c r="F1046" s="14" t="s">
        <v>36</v>
      </c>
      <c r="G1046" s="14">
        <v>657</v>
      </c>
      <c r="H1046" s="27">
        <f>Tabla2691624[[#This Row],[Total cluster weight (g)]]/COUNTA(A1042:A1046)</f>
        <v>131.4</v>
      </c>
    </row>
    <row r="1047" spans="1:8" x14ac:dyDescent="0.55000000000000004">
      <c r="A1047" s="34" t="s">
        <v>153</v>
      </c>
      <c r="B1047" s="12">
        <v>49</v>
      </c>
      <c r="C1047" s="12">
        <v>58</v>
      </c>
      <c r="D1047" s="28" t="s">
        <v>37</v>
      </c>
      <c r="E1047" s="12">
        <v>6</v>
      </c>
      <c r="F1047" s="12" t="s">
        <v>35</v>
      </c>
      <c r="G1047" s="12"/>
      <c r="H1047" s="118"/>
    </row>
    <row r="1048" spans="1:8" x14ac:dyDescent="0.55000000000000004">
      <c r="A1048" s="10" t="s">
        <v>158</v>
      </c>
      <c r="B1048" s="9">
        <v>51</v>
      </c>
      <c r="C1048" s="9">
        <v>60</v>
      </c>
      <c r="D1048" s="21" t="s">
        <v>37</v>
      </c>
      <c r="E1048" s="9">
        <v>6</v>
      </c>
      <c r="F1048" s="9" t="s">
        <v>36</v>
      </c>
      <c r="G1048" s="9"/>
      <c r="H1048" s="89"/>
    </row>
    <row r="1049" spans="1:8" x14ac:dyDescent="0.55000000000000004">
      <c r="A1049" s="10" t="s">
        <v>215</v>
      </c>
      <c r="B1049" s="9">
        <v>48</v>
      </c>
      <c r="C1049" s="9">
        <v>59</v>
      </c>
      <c r="D1049" s="21" t="s">
        <v>37</v>
      </c>
      <c r="E1049" s="9">
        <v>6</v>
      </c>
      <c r="F1049" s="9" t="s">
        <v>36</v>
      </c>
      <c r="G1049" s="9"/>
      <c r="H1049" s="89"/>
    </row>
    <row r="1050" spans="1:8" x14ac:dyDescent="0.55000000000000004">
      <c r="A1050" s="10" t="s">
        <v>216</v>
      </c>
      <c r="B1050" s="9">
        <v>52</v>
      </c>
      <c r="C1050" s="9">
        <v>60</v>
      </c>
      <c r="D1050" s="21" t="s">
        <v>37</v>
      </c>
      <c r="E1050" s="9">
        <v>6</v>
      </c>
      <c r="F1050" s="9" t="s">
        <v>36</v>
      </c>
      <c r="G1050" s="9"/>
      <c r="H1050" s="89"/>
    </row>
    <row r="1051" spans="1:8" ht="14.7" thickBot="1" x14ac:dyDescent="0.6">
      <c r="A1051" s="35" t="s">
        <v>217</v>
      </c>
      <c r="B1051" s="14">
        <v>51</v>
      </c>
      <c r="C1051" s="14">
        <v>63</v>
      </c>
      <c r="D1051" s="23" t="s">
        <v>37</v>
      </c>
      <c r="E1051" s="14">
        <v>6</v>
      </c>
      <c r="F1051" s="14" t="s">
        <v>36</v>
      </c>
      <c r="G1051" s="14">
        <v>501.5</v>
      </c>
      <c r="H1051" s="116">
        <f>Tabla2691624[[#This Row],[Total cluster weight (g)]]/COUNTA(A1047:A1051)</f>
        <v>100.3</v>
      </c>
    </row>
    <row r="1052" spans="1:8" x14ac:dyDescent="0.55000000000000004">
      <c r="A1052" s="34" t="s">
        <v>218</v>
      </c>
      <c r="B1052" s="12">
        <v>52</v>
      </c>
      <c r="C1052" s="12">
        <v>58</v>
      </c>
      <c r="D1052" s="28" t="s">
        <v>37</v>
      </c>
      <c r="E1052" s="12">
        <v>7</v>
      </c>
      <c r="F1052" s="12" t="s">
        <v>36</v>
      </c>
      <c r="G1052" s="12"/>
      <c r="H1052" s="118"/>
    </row>
    <row r="1053" spans="1:8" x14ac:dyDescent="0.55000000000000004">
      <c r="A1053" s="10" t="s">
        <v>219</v>
      </c>
      <c r="B1053" s="9">
        <v>56</v>
      </c>
      <c r="C1053" s="9">
        <v>58</v>
      </c>
      <c r="D1053" s="21" t="s">
        <v>37</v>
      </c>
      <c r="E1053" s="9">
        <v>7</v>
      </c>
      <c r="F1053" s="9" t="s">
        <v>36</v>
      </c>
      <c r="G1053" s="9"/>
      <c r="H1053" s="89"/>
    </row>
    <row r="1054" spans="1:8" x14ac:dyDescent="0.55000000000000004">
      <c r="A1054" s="10" t="s">
        <v>222</v>
      </c>
      <c r="B1054" s="9">
        <v>54</v>
      </c>
      <c r="C1054" s="9">
        <v>62</v>
      </c>
      <c r="D1054" s="21" t="s">
        <v>37</v>
      </c>
      <c r="E1054" s="9">
        <v>7</v>
      </c>
      <c r="F1054" s="9" t="s">
        <v>36</v>
      </c>
      <c r="G1054" s="9"/>
      <c r="H1054" s="89"/>
    </row>
    <row r="1055" spans="1:8" x14ac:dyDescent="0.55000000000000004">
      <c r="A1055" s="10" t="s">
        <v>223</v>
      </c>
      <c r="B1055" s="9">
        <v>56</v>
      </c>
      <c r="C1055" s="9">
        <v>64</v>
      </c>
      <c r="D1055" s="21" t="s">
        <v>37</v>
      </c>
      <c r="E1055" s="9">
        <v>7</v>
      </c>
      <c r="F1055" s="9" t="s">
        <v>36</v>
      </c>
      <c r="G1055" s="9"/>
      <c r="H1055" s="89"/>
    </row>
    <row r="1056" spans="1:8" ht="14.7" thickBot="1" x14ac:dyDescent="0.6">
      <c r="A1056" s="35" t="s">
        <v>232</v>
      </c>
      <c r="B1056" s="14">
        <v>52</v>
      </c>
      <c r="C1056" s="14">
        <v>61</v>
      </c>
      <c r="D1056" s="23" t="s">
        <v>37</v>
      </c>
      <c r="E1056" s="14">
        <v>7</v>
      </c>
      <c r="F1056" s="14" t="s">
        <v>36</v>
      </c>
      <c r="G1056" s="14">
        <v>518</v>
      </c>
      <c r="H1056" s="116">
        <f>Tabla2691624[[#This Row],[Total cluster weight (g)]]/COUNTA(A1052:A1056)</f>
        <v>103.6</v>
      </c>
    </row>
    <row r="1057" spans="1:9" x14ac:dyDescent="0.55000000000000004">
      <c r="A1057" s="34" t="s">
        <v>233</v>
      </c>
      <c r="B1057" s="12">
        <v>55</v>
      </c>
      <c r="C1057" s="12">
        <v>58</v>
      </c>
      <c r="D1057" s="28" t="s">
        <v>37</v>
      </c>
      <c r="E1057" s="12">
        <v>8</v>
      </c>
      <c r="F1057" s="12" t="s">
        <v>35</v>
      </c>
      <c r="G1057" s="12"/>
      <c r="H1057" s="118"/>
    </row>
    <row r="1058" spans="1:9" x14ac:dyDescent="0.55000000000000004">
      <c r="A1058" s="10" t="s">
        <v>234</v>
      </c>
      <c r="B1058" s="9">
        <v>52</v>
      </c>
      <c r="C1058" s="9">
        <v>60</v>
      </c>
      <c r="D1058" s="21" t="s">
        <v>37</v>
      </c>
      <c r="E1058" s="9">
        <v>8</v>
      </c>
      <c r="F1058" s="9" t="s">
        <v>36</v>
      </c>
      <c r="G1058" s="9"/>
      <c r="H1058" s="89"/>
    </row>
    <row r="1059" spans="1:9" x14ac:dyDescent="0.55000000000000004">
      <c r="A1059" s="10" t="s">
        <v>235</v>
      </c>
      <c r="B1059" s="9">
        <v>51</v>
      </c>
      <c r="C1059" s="9">
        <v>57</v>
      </c>
      <c r="D1059" s="21" t="s">
        <v>37</v>
      </c>
      <c r="E1059" s="9">
        <v>8</v>
      </c>
      <c r="F1059" s="9" t="s">
        <v>36</v>
      </c>
      <c r="G1059" s="9"/>
      <c r="H1059" s="89"/>
    </row>
    <row r="1060" spans="1:9" x14ac:dyDescent="0.55000000000000004">
      <c r="A1060" s="10" t="s">
        <v>236</v>
      </c>
      <c r="B1060" s="9">
        <v>56</v>
      </c>
      <c r="C1060" s="9">
        <v>63</v>
      </c>
      <c r="D1060" s="21" t="s">
        <v>37</v>
      </c>
      <c r="E1060" s="9">
        <v>8</v>
      </c>
      <c r="F1060" s="9" t="s">
        <v>36</v>
      </c>
      <c r="G1060" s="9"/>
      <c r="H1060" s="89"/>
    </row>
    <row r="1061" spans="1:9" ht="14.7" thickBot="1" x14ac:dyDescent="0.6">
      <c r="A1061" s="35" t="s">
        <v>248</v>
      </c>
      <c r="B1061" s="14">
        <v>55</v>
      </c>
      <c r="C1061" s="14">
        <v>68</v>
      </c>
      <c r="D1061" s="23" t="s">
        <v>37</v>
      </c>
      <c r="E1061" s="14">
        <v>8</v>
      </c>
      <c r="F1061" s="14" t="s">
        <v>36</v>
      </c>
      <c r="G1061" s="14">
        <v>560.5</v>
      </c>
      <c r="H1061" s="116">
        <f>Tabla2691624[[#This Row],[Total cluster weight (g)]]/COUNTA(A1057:A1061)</f>
        <v>112.1</v>
      </c>
    </row>
    <row r="1062" spans="1:9" x14ac:dyDescent="0.55000000000000004">
      <c r="A1062" s="6" t="s">
        <v>308</v>
      </c>
      <c r="B1062" s="7">
        <v>53</v>
      </c>
      <c r="C1062" s="7">
        <v>61</v>
      </c>
      <c r="D1062" s="9" t="s">
        <v>37</v>
      </c>
      <c r="E1062" s="9">
        <v>9</v>
      </c>
      <c r="F1062" s="20" t="s">
        <v>35</v>
      </c>
      <c r="G1062" s="9"/>
      <c r="H1062" s="157"/>
      <c r="I1062" t="s">
        <v>56</v>
      </c>
    </row>
    <row r="1063" spans="1:9" x14ac:dyDescent="0.55000000000000004">
      <c r="A1063" s="8" t="s">
        <v>278</v>
      </c>
      <c r="B1063" s="9">
        <v>57</v>
      </c>
      <c r="C1063" s="9">
        <v>65</v>
      </c>
      <c r="D1063" s="9" t="s">
        <v>37</v>
      </c>
      <c r="E1063" s="9">
        <v>9</v>
      </c>
      <c r="F1063" s="9" t="s">
        <v>36</v>
      </c>
      <c r="G1063" s="9"/>
      <c r="H1063" s="157"/>
    </row>
    <row r="1064" spans="1:9" x14ac:dyDescent="0.55000000000000004">
      <c r="A1064" s="10" t="s">
        <v>309</v>
      </c>
      <c r="B1064" s="9">
        <v>59</v>
      </c>
      <c r="C1064" s="9">
        <v>69</v>
      </c>
      <c r="D1064" s="9" t="s">
        <v>37</v>
      </c>
      <c r="E1064" s="9">
        <v>9</v>
      </c>
      <c r="F1064" s="9" t="s">
        <v>36</v>
      </c>
      <c r="G1064" s="9"/>
      <c r="H1064" s="157"/>
    </row>
    <row r="1065" spans="1:9" x14ac:dyDescent="0.55000000000000004">
      <c r="A1065" s="11" t="s">
        <v>256</v>
      </c>
      <c r="B1065" s="12">
        <v>58</v>
      </c>
      <c r="C1065" s="12">
        <v>66</v>
      </c>
      <c r="D1065" s="9" t="s">
        <v>37</v>
      </c>
      <c r="E1065" s="9">
        <v>9</v>
      </c>
      <c r="F1065" s="9" t="s">
        <v>36</v>
      </c>
      <c r="G1065" s="9"/>
      <c r="H1065" s="157"/>
    </row>
    <row r="1066" spans="1:9" ht="14.7" thickBot="1" x14ac:dyDescent="0.6">
      <c r="A1066" s="13" t="s">
        <v>260</v>
      </c>
      <c r="B1066" s="14">
        <v>59</v>
      </c>
      <c r="C1066" s="14">
        <v>70</v>
      </c>
      <c r="D1066" s="14" t="s">
        <v>37</v>
      </c>
      <c r="E1066" s="14">
        <v>9</v>
      </c>
      <c r="F1066" s="22" t="s">
        <v>36</v>
      </c>
      <c r="G1066" s="14">
        <v>712.5</v>
      </c>
      <c r="H1066" s="112">
        <f>Tabla2691624[[#This Row],[Total cluster weight (g)]]/COUNTA(A1062:A1066)</f>
        <v>142.5</v>
      </c>
    </row>
    <row r="1067" spans="1:9" x14ac:dyDescent="0.55000000000000004">
      <c r="A1067" s="29"/>
      <c r="B1067" s="30"/>
      <c r="C1067" s="4"/>
      <c r="D1067" s="31"/>
      <c r="E1067" s="4"/>
      <c r="F1067" s="4"/>
      <c r="G1067" s="4"/>
    </row>
    <row r="1068" spans="1:9" x14ac:dyDescent="0.55000000000000004">
      <c r="A1068" s="59" t="s">
        <v>210</v>
      </c>
      <c r="B1068" s="55" t="s">
        <v>162</v>
      </c>
      <c r="C1068" s="55" t="s">
        <v>163</v>
      </c>
      <c r="D1068" s="55" t="s">
        <v>164</v>
      </c>
      <c r="E1068" s="55" t="s">
        <v>165</v>
      </c>
      <c r="F1068" s="56" t="s">
        <v>189</v>
      </c>
      <c r="G1068" s="110" t="s">
        <v>230</v>
      </c>
    </row>
    <row r="1069" spans="1:9" x14ac:dyDescent="0.55000000000000004">
      <c r="A1069" s="60" t="s">
        <v>166</v>
      </c>
      <c r="B1069" s="57">
        <f>AVERAGE(Tabla2691624[Height (mm)])</f>
        <v>54.612244897959187</v>
      </c>
      <c r="C1069" s="57">
        <f>AVERAGE(Tabla2691624[Width (mm)])</f>
        <v>63.714285714285715</v>
      </c>
      <c r="D1069" s="57">
        <f>MAX(Tabla2691624[[Cluster number ]])</f>
        <v>9</v>
      </c>
      <c r="E1069" s="57">
        <f>AVERAGE(Tabla2691624[Tomato average weight per cluster])</f>
        <v>120.21499999999999</v>
      </c>
      <c r="F1069" s="58">
        <f>COUNTA(Tabla2691624["L21" PLANT])</f>
        <v>49</v>
      </c>
      <c r="G1069" s="109">
        <f>SUM(Tabla2691624[Total cluster weight (g)])</f>
        <v>5891</v>
      </c>
    </row>
    <row r="1071" spans="1:9" ht="14.7" thickBot="1" x14ac:dyDescent="0.6">
      <c r="A1071" s="5" t="s">
        <v>122</v>
      </c>
      <c r="B1071" t="s">
        <v>3</v>
      </c>
      <c r="C1071" t="s">
        <v>4</v>
      </c>
      <c r="D1071" t="s">
        <v>5</v>
      </c>
      <c r="E1071" t="s">
        <v>213</v>
      </c>
      <c r="F1071" t="s">
        <v>7</v>
      </c>
      <c r="G1071" t="s">
        <v>8</v>
      </c>
      <c r="H1071" s="52" t="s">
        <v>161</v>
      </c>
    </row>
    <row r="1072" spans="1:9" x14ac:dyDescent="0.55000000000000004">
      <c r="A1072" s="6" t="s">
        <v>9</v>
      </c>
      <c r="B1072" s="7">
        <v>51</v>
      </c>
      <c r="C1072" s="7">
        <v>60</v>
      </c>
      <c r="D1072" s="21" t="s">
        <v>37</v>
      </c>
      <c r="E1072" s="9">
        <v>1</v>
      </c>
      <c r="F1072" s="9" t="s">
        <v>35</v>
      </c>
      <c r="G1072" s="9"/>
      <c r="H1072" s="66"/>
    </row>
    <row r="1073" spans="1:8" x14ac:dyDescent="0.55000000000000004">
      <c r="A1073" s="8" t="s">
        <v>10</v>
      </c>
      <c r="B1073" s="9">
        <v>48</v>
      </c>
      <c r="C1073" s="9">
        <v>59</v>
      </c>
      <c r="D1073" s="21" t="s">
        <v>37</v>
      </c>
      <c r="E1073" s="9">
        <v>1</v>
      </c>
      <c r="F1073" s="9" t="s">
        <v>35</v>
      </c>
      <c r="G1073" s="9"/>
      <c r="H1073" s="16"/>
    </row>
    <row r="1074" spans="1:8" x14ac:dyDescent="0.55000000000000004">
      <c r="A1074" s="10" t="s">
        <v>11</v>
      </c>
      <c r="B1074" s="9">
        <v>52</v>
      </c>
      <c r="C1074" s="9">
        <v>61</v>
      </c>
      <c r="D1074" s="21" t="s">
        <v>37</v>
      </c>
      <c r="E1074" s="9">
        <v>1</v>
      </c>
      <c r="F1074" s="12" t="s">
        <v>36</v>
      </c>
      <c r="G1074" s="9"/>
      <c r="H1074" s="18"/>
    </row>
    <row r="1075" spans="1:8" x14ac:dyDescent="0.55000000000000004">
      <c r="A1075" s="34" t="s">
        <v>12</v>
      </c>
      <c r="B1075" s="12">
        <v>50</v>
      </c>
      <c r="C1075" s="12">
        <v>66</v>
      </c>
      <c r="D1075" s="28" t="s">
        <v>37</v>
      </c>
      <c r="E1075" s="9">
        <v>1</v>
      </c>
      <c r="F1075" s="12" t="s">
        <v>36</v>
      </c>
      <c r="G1075" s="9"/>
      <c r="H1075" s="16"/>
    </row>
    <row r="1076" spans="1:8" ht="14.7" thickBot="1" x14ac:dyDescent="0.6">
      <c r="A1076" s="35" t="s">
        <v>13</v>
      </c>
      <c r="B1076" s="14">
        <v>49</v>
      </c>
      <c r="C1076" s="14">
        <v>64</v>
      </c>
      <c r="D1076" s="23" t="s">
        <v>37</v>
      </c>
      <c r="E1076" s="14">
        <v>1</v>
      </c>
      <c r="F1076" s="14" t="s">
        <v>36</v>
      </c>
      <c r="G1076" s="14">
        <v>530.5</v>
      </c>
      <c r="H1076" s="19">
        <f>Tabla2691625[[#This Row],[Total cluster weight (g)]]/COUNTA(A1072:A1076)</f>
        <v>106.1</v>
      </c>
    </row>
    <row r="1077" spans="1:8" x14ac:dyDescent="0.55000000000000004">
      <c r="A1077" s="10" t="s">
        <v>41</v>
      </c>
      <c r="B1077" s="9">
        <v>55</v>
      </c>
      <c r="C1077" s="9">
        <v>66</v>
      </c>
      <c r="D1077" s="21" t="s">
        <v>37</v>
      </c>
      <c r="E1077" s="9">
        <v>2</v>
      </c>
      <c r="F1077" s="9" t="s">
        <v>36</v>
      </c>
      <c r="G1077" s="9"/>
      <c r="H1077" s="68"/>
    </row>
    <row r="1078" spans="1:8" x14ac:dyDescent="0.55000000000000004">
      <c r="A1078" s="10" t="s">
        <v>42</v>
      </c>
      <c r="B1078" s="9">
        <v>55</v>
      </c>
      <c r="C1078" s="9">
        <v>67</v>
      </c>
      <c r="D1078" s="21" t="s">
        <v>37</v>
      </c>
      <c r="E1078" s="9">
        <v>2</v>
      </c>
      <c r="F1078" s="9" t="s">
        <v>36</v>
      </c>
      <c r="G1078" s="9"/>
      <c r="H1078" s="18"/>
    </row>
    <row r="1079" spans="1:8" x14ac:dyDescent="0.55000000000000004">
      <c r="A1079" s="10" t="s">
        <v>43</v>
      </c>
      <c r="B1079" s="9">
        <v>54</v>
      </c>
      <c r="C1079" s="9">
        <v>67</v>
      </c>
      <c r="D1079" s="21" t="s">
        <v>37</v>
      </c>
      <c r="E1079" s="9">
        <v>2</v>
      </c>
      <c r="F1079" s="9" t="s">
        <v>36</v>
      </c>
      <c r="G1079" s="9"/>
      <c r="H1079" s="16"/>
    </row>
    <row r="1080" spans="1:8" x14ac:dyDescent="0.55000000000000004">
      <c r="A1080" s="10" t="s">
        <v>47</v>
      </c>
      <c r="B1080" s="9">
        <v>44</v>
      </c>
      <c r="C1080" s="9">
        <v>52</v>
      </c>
      <c r="D1080" s="21" t="s">
        <v>37</v>
      </c>
      <c r="E1080" s="9">
        <v>2</v>
      </c>
      <c r="F1080" s="9" t="s">
        <v>36</v>
      </c>
      <c r="G1080" s="9"/>
      <c r="H1080" s="18"/>
    </row>
    <row r="1081" spans="1:8" ht="14.7" thickBot="1" x14ac:dyDescent="0.6">
      <c r="A1081" s="35" t="s">
        <v>48</v>
      </c>
      <c r="B1081" s="14">
        <v>43</v>
      </c>
      <c r="C1081" s="14">
        <v>51</v>
      </c>
      <c r="D1081" s="23" t="s">
        <v>37</v>
      </c>
      <c r="E1081" s="14">
        <v>2</v>
      </c>
      <c r="F1081" s="14" t="s">
        <v>36</v>
      </c>
      <c r="G1081" s="14">
        <v>487</v>
      </c>
      <c r="H1081" s="27">
        <f>Tabla2691625[[#This Row],[Total cluster weight (g)]]/COUNTA(A1077:A1081)</f>
        <v>97.4</v>
      </c>
    </row>
    <row r="1082" spans="1:8" x14ac:dyDescent="0.55000000000000004">
      <c r="A1082" s="34" t="s">
        <v>49</v>
      </c>
      <c r="B1082" s="12">
        <v>55</v>
      </c>
      <c r="C1082" s="12">
        <v>67</v>
      </c>
      <c r="D1082" s="28" t="s">
        <v>37</v>
      </c>
      <c r="E1082" s="9">
        <v>3</v>
      </c>
      <c r="F1082" s="9" t="s">
        <v>35</v>
      </c>
      <c r="G1082" s="9"/>
      <c r="H1082" s="66"/>
    </row>
    <row r="1083" spans="1:8" x14ac:dyDescent="0.55000000000000004">
      <c r="A1083" s="10" t="s">
        <v>50</v>
      </c>
      <c r="B1083" s="9">
        <v>54</v>
      </c>
      <c r="C1083" s="9">
        <v>69</v>
      </c>
      <c r="D1083" s="21" t="s">
        <v>37</v>
      </c>
      <c r="E1083" s="9">
        <v>3</v>
      </c>
      <c r="F1083" s="9" t="s">
        <v>36</v>
      </c>
      <c r="G1083" s="9"/>
      <c r="H1083" s="16"/>
    </row>
    <row r="1084" spans="1:8" x14ac:dyDescent="0.55000000000000004">
      <c r="A1084" s="10" t="s">
        <v>51</v>
      </c>
      <c r="B1084" s="9">
        <v>56</v>
      </c>
      <c r="C1084" s="9">
        <v>65</v>
      </c>
      <c r="D1084" s="21" t="s">
        <v>37</v>
      </c>
      <c r="E1084" s="9">
        <v>3</v>
      </c>
      <c r="F1084" s="9" t="s">
        <v>36</v>
      </c>
      <c r="G1084" s="9"/>
      <c r="H1084" s="18"/>
    </row>
    <row r="1085" spans="1:8" x14ac:dyDescent="0.55000000000000004">
      <c r="A1085" s="10" t="s">
        <v>52</v>
      </c>
      <c r="B1085" s="9">
        <v>59</v>
      </c>
      <c r="C1085" s="9">
        <v>69</v>
      </c>
      <c r="D1085" s="21" t="s">
        <v>37</v>
      </c>
      <c r="E1085" s="9">
        <v>3</v>
      </c>
      <c r="F1085" s="9" t="s">
        <v>36</v>
      </c>
      <c r="G1085" s="9"/>
      <c r="H1085" s="16"/>
    </row>
    <row r="1086" spans="1:8" ht="14.7" thickBot="1" x14ac:dyDescent="0.6">
      <c r="A1086" s="35" t="s">
        <v>53</v>
      </c>
      <c r="B1086" s="14">
        <v>57</v>
      </c>
      <c r="C1086" s="14">
        <v>69</v>
      </c>
      <c r="D1086" s="23" t="s">
        <v>37</v>
      </c>
      <c r="E1086" s="14">
        <v>3</v>
      </c>
      <c r="F1086" s="14" t="s">
        <v>36</v>
      </c>
      <c r="G1086" s="14">
        <v>619.5</v>
      </c>
      <c r="H1086" s="19">
        <f>Tabla2691625[[#This Row],[Total cluster weight (g)]]/COUNTA(A1082:A1086)</f>
        <v>123.9</v>
      </c>
    </row>
    <row r="1087" spans="1:8" x14ac:dyDescent="0.55000000000000004">
      <c r="A1087" s="34" t="s">
        <v>80</v>
      </c>
      <c r="B1087" s="12">
        <v>52</v>
      </c>
      <c r="C1087" s="12">
        <v>63</v>
      </c>
      <c r="D1087" s="28" t="s">
        <v>37</v>
      </c>
      <c r="E1087" s="12">
        <v>4</v>
      </c>
      <c r="F1087" s="12" t="s">
        <v>35</v>
      </c>
      <c r="G1087" s="12"/>
      <c r="H1087" s="12"/>
    </row>
    <row r="1088" spans="1:8" x14ac:dyDescent="0.55000000000000004">
      <c r="A1088" s="10" t="s">
        <v>81</v>
      </c>
      <c r="B1088" s="9">
        <v>55</v>
      </c>
      <c r="C1088" s="9">
        <v>69</v>
      </c>
      <c r="D1088" s="21" t="s">
        <v>37</v>
      </c>
      <c r="E1088" s="9">
        <v>4</v>
      </c>
      <c r="F1088" s="9" t="s">
        <v>35</v>
      </c>
      <c r="G1088" s="9"/>
      <c r="H1088" s="9"/>
    </row>
    <row r="1089" spans="1:9" x14ac:dyDescent="0.55000000000000004">
      <c r="A1089" s="10" t="s">
        <v>66</v>
      </c>
      <c r="B1089" s="9">
        <v>54</v>
      </c>
      <c r="C1089" s="9">
        <v>67</v>
      </c>
      <c r="D1089" s="21" t="s">
        <v>37</v>
      </c>
      <c r="E1089" s="9">
        <v>4</v>
      </c>
      <c r="F1089" s="9" t="s">
        <v>35</v>
      </c>
      <c r="G1089" s="9"/>
      <c r="H1089" s="9"/>
    </row>
    <row r="1090" spans="1:9" x14ac:dyDescent="0.55000000000000004">
      <c r="A1090" s="10" t="s">
        <v>67</v>
      </c>
      <c r="B1090" s="9">
        <v>50</v>
      </c>
      <c r="C1090" s="9">
        <v>69</v>
      </c>
      <c r="D1090" s="21" t="s">
        <v>37</v>
      </c>
      <c r="E1090" s="9">
        <v>4</v>
      </c>
      <c r="F1090" s="9" t="s">
        <v>36</v>
      </c>
      <c r="G1090" s="9"/>
      <c r="H1090" s="9"/>
    </row>
    <row r="1091" spans="1:9" ht="14.7" thickBot="1" x14ac:dyDescent="0.6">
      <c r="A1091" s="35" t="s">
        <v>71</v>
      </c>
      <c r="B1091" s="14">
        <v>51</v>
      </c>
      <c r="C1091" s="14">
        <v>68</v>
      </c>
      <c r="D1091" s="23" t="s">
        <v>37</v>
      </c>
      <c r="E1091" s="14">
        <v>4</v>
      </c>
      <c r="F1091" s="14" t="s">
        <v>36</v>
      </c>
      <c r="G1091" s="14">
        <v>596.5</v>
      </c>
      <c r="H1091" s="14">
        <f>Tabla2691625[[#This Row],[Total cluster weight (g)]]/COUNTA(A1087:A1091)</f>
        <v>119.3</v>
      </c>
    </row>
    <row r="1092" spans="1:9" x14ac:dyDescent="0.55000000000000004">
      <c r="A1092" s="6" t="s">
        <v>89</v>
      </c>
      <c r="B1092" s="7">
        <v>52</v>
      </c>
      <c r="C1092" s="7">
        <v>64</v>
      </c>
      <c r="D1092" s="21" t="s">
        <v>37</v>
      </c>
      <c r="E1092" s="9">
        <v>5</v>
      </c>
      <c r="F1092" s="9" t="s">
        <v>36</v>
      </c>
      <c r="G1092" s="9"/>
      <c r="H1092" s="88"/>
    </row>
    <row r="1093" spans="1:9" x14ac:dyDescent="0.55000000000000004">
      <c r="A1093" s="8" t="s">
        <v>92</v>
      </c>
      <c r="B1093" s="9">
        <v>56</v>
      </c>
      <c r="C1093" s="9">
        <v>68</v>
      </c>
      <c r="D1093" s="21" t="s">
        <v>37</v>
      </c>
      <c r="E1093" s="9">
        <v>5</v>
      </c>
      <c r="F1093" s="9" t="s">
        <v>36</v>
      </c>
      <c r="G1093" s="9"/>
      <c r="H1093" s="88"/>
    </row>
    <row r="1094" spans="1:9" x14ac:dyDescent="0.55000000000000004">
      <c r="A1094" s="10" t="s">
        <v>93</v>
      </c>
      <c r="B1094" s="9">
        <v>54</v>
      </c>
      <c r="C1094" s="9">
        <v>66</v>
      </c>
      <c r="D1094" s="21" t="s">
        <v>37</v>
      </c>
      <c r="E1094" s="9">
        <v>5</v>
      </c>
      <c r="F1094" s="9" t="s">
        <v>36</v>
      </c>
      <c r="G1094" s="9"/>
      <c r="H1094" s="88"/>
    </row>
    <row r="1095" spans="1:9" x14ac:dyDescent="0.55000000000000004">
      <c r="A1095" s="11" t="s">
        <v>94</v>
      </c>
      <c r="B1095" s="12">
        <v>58</v>
      </c>
      <c r="C1095" s="12">
        <v>69</v>
      </c>
      <c r="D1095" s="21" t="s">
        <v>37</v>
      </c>
      <c r="E1095" s="9">
        <v>5</v>
      </c>
      <c r="F1095" s="9" t="s">
        <v>36</v>
      </c>
      <c r="G1095" s="9"/>
      <c r="H1095" s="88"/>
    </row>
    <row r="1096" spans="1:9" ht="14.7" thickBot="1" x14ac:dyDescent="0.6">
      <c r="A1096" s="13" t="s">
        <v>95</v>
      </c>
      <c r="B1096" s="14">
        <v>54</v>
      </c>
      <c r="C1096" s="14">
        <v>65</v>
      </c>
      <c r="D1096" s="23" t="s">
        <v>37</v>
      </c>
      <c r="E1096" s="14">
        <v>5</v>
      </c>
      <c r="F1096" s="14" t="s">
        <v>36</v>
      </c>
      <c r="G1096" s="14">
        <v>644.5</v>
      </c>
      <c r="H1096" s="14">
        <f>Tabla2691625[[#This Row],[Total cluster weight (g)]]/COUNTA(A1092:A1096)</f>
        <v>128.9</v>
      </c>
    </row>
    <row r="1097" spans="1:9" x14ac:dyDescent="0.55000000000000004">
      <c r="A1097" s="10" t="s">
        <v>240</v>
      </c>
      <c r="B1097" s="9">
        <v>49</v>
      </c>
      <c r="C1097" s="9">
        <v>66</v>
      </c>
      <c r="D1097" s="21" t="s">
        <v>37</v>
      </c>
      <c r="E1097" s="9">
        <v>6</v>
      </c>
      <c r="F1097" s="9" t="s">
        <v>35</v>
      </c>
      <c r="G1097" s="9"/>
      <c r="H1097" s="88"/>
      <c r="I1097" t="s">
        <v>56</v>
      </c>
    </row>
    <row r="1098" spans="1:9" x14ac:dyDescent="0.55000000000000004">
      <c r="A1098" s="10" t="s">
        <v>241</v>
      </c>
      <c r="B1098" s="9">
        <v>53</v>
      </c>
      <c r="C1098" s="9">
        <v>65</v>
      </c>
      <c r="D1098" s="21" t="s">
        <v>37</v>
      </c>
      <c r="E1098" s="9">
        <v>6</v>
      </c>
      <c r="F1098" s="9" t="s">
        <v>36</v>
      </c>
      <c r="G1098" s="9"/>
      <c r="H1098" s="88"/>
    </row>
    <row r="1099" spans="1:9" x14ac:dyDescent="0.55000000000000004">
      <c r="A1099" s="10" t="s">
        <v>242</v>
      </c>
      <c r="B1099" s="9">
        <v>53</v>
      </c>
      <c r="C1099" s="9">
        <v>69</v>
      </c>
      <c r="D1099" s="21" t="s">
        <v>37</v>
      </c>
      <c r="E1099" s="9">
        <v>6</v>
      </c>
      <c r="F1099" s="9" t="s">
        <v>36</v>
      </c>
      <c r="G1099" s="9"/>
      <c r="H1099" s="88"/>
    </row>
    <row r="1100" spans="1:9" x14ac:dyDescent="0.55000000000000004">
      <c r="A1100" s="10" t="s">
        <v>152</v>
      </c>
      <c r="B1100" s="9">
        <v>54</v>
      </c>
      <c r="C1100" s="9">
        <v>71</v>
      </c>
      <c r="D1100" s="21" t="s">
        <v>37</v>
      </c>
      <c r="E1100" s="9">
        <v>6</v>
      </c>
      <c r="F1100" s="9" t="s">
        <v>36</v>
      </c>
      <c r="G1100" s="9"/>
      <c r="H1100" s="88"/>
    </row>
    <row r="1101" spans="1:9" ht="14.7" thickBot="1" x14ac:dyDescent="0.6">
      <c r="A1101" s="35" t="s">
        <v>153</v>
      </c>
      <c r="B1101" s="14">
        <v>52</v>
      </c>
      <c r="C1101" s="14">
        <v>69</v>
      </c>
      <c r="D1101" s="23" t="s">
        <v>37</v>
      </c>
      <c r="E1101" s="14">
        <v>6</v>
      </c>
      <c r="F1101" s="14" t="s">
        <v>36</v>
      </c>
      <c r="G1101" s="14">
        <v>614</v>
      </c>
      <c r="H1101" s="102">
        <f>Tabla2691625[[#This Row],[Total cluster weight (g)]]/COUNTA(A1097:A1101)</f>
        <v>122.8</v>
      </c>
    </row>
    <row r="1102" spans="1:9" x14ac:dyDescent="0.55000000000000004">
      <c r="A1102" s="10" t="s">
        <v>158</v>
      </c>
      <c r="B1102" s="9">
        <v>52</v>
      </c>
      <c r="C1102" s="9">
        <v>65</v>
      </c>
      <c r="D1102" s="21" t="s">
        <v>37</v>
      </c>
      <c r="E1102" s="9">
        <v>7</v>
      </c>
      <c r="F1102" s="9" t="s">
        <v>35</v>
      </c>
      <c r="G1102" s="9"/>
      <c r="H1102" s="88"/>
    </row>
    <row r="1103" spans="1:9" x14ac:dyDescent="0.55000000000000004">
      <c r="A1103" s="10" t="s">
        <v>215</v>
      </c>
      <c r="B1103" s="9">
        <v>51</v>
      </c>
      <c r="C1103" s="9">
        <v>65</v>
      </c>
      <c r="D1103" s="21" t="s">
        <v>37</v>
      </c>
      <c r="E1103" s="9">
        <v>7</v>
      </c>
      <c r="F1103" s="9" t="s">
        <v>36</v>
      </c>
      <c r="G1103" s="9"/>
      <c r="H1103" s="88"/>
    </row>
    <row r="1104" spans="1:9" x14ac:dyDescent="0.55000000000000004">
      <c r="A1104" s="10" t="s">
        <v>216</v>
      </c>
      <c r="B1104" s="9">
        <v>51</v>
      </c>
      <c r="C1104" s="9">
        <v>64</v>
      </c>
      <c r="D1104" s="21" t="s">
        <v>37</v>
      </c>
      <c r="E1104" s="9">
        <v>7</v>
      </c>
      <c r="F1104" s="9" t="s">
        <v>36</v>
      </c>
      <c r="G1104" s="9"/>
      <c r="H1104" s="88"/>
    </row>
    <row r="1105" spans="1:9" x14ac:dyDescent="0.55000000000000004">
      <c r="A1105" s="10" t="s">
        <v>217</v>
      </c>
      <c r="B1105" s="9">
        <v>49</v>
      </c>
      <c r="C1105" s="9">
        <v>63</v>
      </c>
      <c r="D1105" s="21" t="s">
        <v>37</v>
      </c>
      <c r="E1105" s="9">
        <v>7</v>
      </c>
      <c r="F1105" s="9" t="s">
        <v>36</v>
      </c>
      <c r="G1105" s="9"/>
      <c r="H1105" s="88"/>
    </row>
    <row r="1106" spans="1:9" ht="14.7" thickBot="1" x14ac:dyDescent="0.6">
      <c r="A1106" s="35" t="s">
        <v>218</v>
      </c>
      <c r="B1106" s="14">
        <v>52</v>
      </c>
      <c r="C1106" s="14">
        <v>71</v>
      </c>
      <c r="D1106" s="23" t="s">
        <v>37</v>
      </c>
      <c r="E1106" s="14">
        <v>7</v>
      </c>
      <c r="F1106" s="14" t="s">
        <v>36</v>
      </c>
      <c r="G1106" s="14">
        <v>558.5</v>
      </c>
      <c r="H1106" s="102">
        <f>Tabla2691625[[#This Row],[Total cluster weight (g)]]/COUNTA(A1102:A1106)</f>
        <v>111.7</v>
      </c>
    </row>
    <row r="1107" spans="1:9" x14ac:dyDescent="0.55000000000000004">
      <c r="A1107" s="10" t="s">
        <v>219</v>
      </c>
      <c r="B1107" s="9">
        <v>54</v>
      </c>
      <c r="C1107" s="9">
        <v>67</v>
      </c>
      <c r="D1107" s="21" t="s">
        <v>37</v>
      </c>
      <c r="E1107" s="9">
        <v>8</v>
      </c>
      <c r="F1107" s="9" t="s">
        <v>35</v>
      </c>
      <c r="G1107" s="9"/>
      <c r="H1107" s="88"/>
    </row>
    <row r="1108" spans="1:9" x14ac:dyDescent="0.55000000000000004">
      <c r="A1108" s="10" t="s">
        <v>222</v>
      </c>
      <c r="B1108" s="9">
        <v>54</v>
      </c>
      <c r="C1108" s="9">
        <v>66</v>
      </c>
      <c r="D1108" s="21" t="s">
        <v>37</v>
      </c>
      <c r="E1108" s="9">
        <v>8</v>
      </c>
      <c r="F1108" s="9" t="s">
        <v>36</v>
      </c>
      <c r="G1108" s="9"/>
      <c r="H1108" s="88"/>
    </row>
    <row r="1109" spans="1:9" x14ac:dyDescent="0.55000000000000004">
      <c r="A1109" s="10" t="s">
        <v>223</v>
      </c>
      <c r="B1109" s="9">
        <v>47</v>
      </c>
      <c r="C1109" s="9">
        <v>61</v>
      </c>
      <c r="D1109" s="21" t="s">
        <v>37</v>
      </c>
      <c r="E1109" s="9">
        <v>8</v>
      </c>
      <c r="F1109" s="9" t="s">
        <v>36</v>
      </c>
      <c r="G1109" s="9"/>
      <c r="H1109" s="88"/>
    </row>
    <row r="1110" spans="1:9" x14ac:dyDescent="0.55000000000000004">
      <c r="A1110" s="10" t="s">
        <v>232</v>
      </c>
      <c r="B1110" s="9">
        <v>53</v>
      </c>
      <c r="C1110" s="9">
        <v>69</v>
      </c>
      <c r="D1110" s="21" t="s">
        <v>37</v>
      </c>
      <c r="E1110" s="9">
        <v>8</v>
      </c>
      <c r="F1110" s="9" t="s">
        <v>36</v>
      </c>
      <c r="G1110" s="9"/>
      <c r="H1110" s="88"/>
    </row>
    <row r="1111" spans="1:9" ht="14.7" thickBot="1" x14ac:dyDescent="0.6">
      <c r="A1111" s="35" t="s">
        <v>233</v>
      </c>
      <c r="B1111" s="14">
        <v>55</v>
      </c>
      <c r="C1111" s="14">
        <v>71</v>
      </c>
      <c r="D1111" s="23" t="s">
        <v>37</v>
      </c>
      <c r="E1111" s="14">
        <v>8</v>
      </c>
      <c r="F1111" s="14" t="s">
        <v>36</v>
      </c>
      <c r="G1111" s="14">
        <v>640</v>
      </c>
      <c r="H1111" s="102">
        <f>Tabla2691625[[#This Row],[Total cluster weight (g)]]/COUNTA(A1107:A1111)</f>
        <v>128</v>
      </c>
    </row>
    <row r="1112" spans="1:9" x14ac:dyDescent="0.55000000000000004">
      <c r="A1112" s="10" t="s">
        <v>293</v>
      </c>
      <c r="B1112" s="9">
        <v>51</v>
      </c>
      <c r="C1112" s="9">
        <v>60</v>
      </c>
      <c r="D1112" s="21" t="s">
        <v>37</v>
      </c>
      <c r="E1112" s="9">
        <v>9</v>
      </c>
      <c r="F1112" s="9" t="s">
        <v>35</v>
      </c>
      <c r="G1112" s="9"/>
      <c r="H1112" s="88"/>
      <c r="I1112" t="s">
        <v>56</v>
      </c>
    </row>
    <row r="1113" spans="1:9" x14ac:dyDescent="0.55000000000000004">
      <c r="A1113" s="10" t="s">
        <v>310</v>
      </c>
      <c r="B1113" s="9">
        <v>53</v>
      </c>
      <c r="C1113" s="9">
        <v>66</v>
      </c>
      <c r="D1113" s="21" t="s">
        <v>37</v>
      </c>
      <c r="E1113" s="9">
        <v>9</v>
      </c>
      <c r="F1113" s="9" t="s">
        <v>35</v>
      </c>
      <c r="G1113" s="9"/>
      <c r="H1113" s="88"/>
    </row>
    <row r="1114" spans="1:9" x14ac:dyDescent="0.55000000000000004">
      <c r="A1114" s="10" t="s">
        <v>311</v>
      </c>
      <c r="B1114" s="9">
        <v>54</v>
      </c>
      <c r="C1114" s="9">
        <v>66</v>
      </c>
      <c r="D1114" s="21" t="s">
        <v>37</v>
      </c>
      <c r="E1114" s="9">
        <v>9</v>
      </c>
      <c r="F1114" s="9" t="s">
        <v>35</v>
      </c>
      <c r="G1114" s="9"/>
      <c r="H1114" s="88"/>
    </row>
    <row r="1115" spans="1:9" x14ac:dyDescent="0.55000000000000004">
      <c r="A1115" s="10" t="s">
        <v>248</v>
      </c>
      <c r="B1115" s="9">
        <v>55</v>
      </c>
      <c r="C1115" s="9">
        <v>72</v>
      </c>
      <c r="D1115" s="21" t="s">
        <v>37</v>
      </c>
      <c r="E1115" s="9">
        <v>9</v>
      </c>
      <c r="F1115" s="9" t="s">
        <v>36</v>
      </c>
      <c r="G1115" s="9"/>
      <c r="H1115" s="88"/>
    </row>
    <row r="1116" spans="1:9" ht="14.7" thickBot="1" x14ac:dyDescent="0.6">
      <c r="A1116" s="35" t="s">
        <v>249</v>
      </c>
      <c r="B1116" s="14">
        <v>54</v>
      </c>
      <c r="C1116" s="14">
        <v>74</v>
      </c>
      <c r="D1116" s="23" t="s">
        <v>37</v>
      </c>
      <c r="E1116" s="14">
        <v>9</v>
      </c>
      <c r="F1116" s="14" t="s">
        <v>36</v>
      </c>
      <c r="G1116" s="14">
        <v>641</v>
      </c>
      <c r="H1116" s="102">
        <f>Tabla2691625[[#This Row],[Total cluster weight (g)]]/COUNTA(A1112:A1116)</f>
        <v>128.19999999999999</v>
      </c>
    </row>
    <row r="1117" spans="1:9" x14ac:dyDescent="0.55000000000000004">
      <c r="A1117" s="29"/>
      <c r="B1117" s="30"/>
      <c r="C1117" s="4"/>
      <c r="D1117" s="31"/>
      <c r="E1117" s="4"/>
      <c r="F1117" s="4"/>
      <c r="G1117" s="4"/>
    </row>
    <row r="1118" spans="1:9" x14ac:dyDescent="0.55000000000000004">
      <c r="A1118" s="59" t="s">
        <v>211</v>
      </c>
      <c r="B1118" s="55" t="s">
        <v>162</v>
      </c>
      <c r="C1118" s="55" t="s">
        <v>163</v>
      </c>
      <c r="D1118" s="55" t="s">
        <v>164</v>
      </c>
      <c r="E1118" s="55" t="s">
        <v>165</v>
      </c>
      <c r="F1118" s="56" t="s">
        <v>189</v>
      </c>
      <c r="G1118" s="110" t="s">
        <v>230</v>
      </c>
    </row>
    <row r="1119" spans="1:9" x14ac:dyDescent="0.55000000000000004">
      <c r="A1119" s="60" t="s">
        <v>166</v>
      </c>
      <c r="B1119" s="57">
        <f>AVERAGE(Tabla2691625[Height (mm)])</f>
        <v>52.533333333333331</v>
      </c>
      <c r="C1119" s="57">
        <f>AVERAGE(Tabla2691625[Width (mm)])</f>
        <v>65.777777777777771</v>
      </c>
      <c r="D1119" s="57">
        <f>MAX(Tabla2691625[Cluster number* ])</f>
        <v>9</v>
      </c>
      <c r="E1119" s="57">
        <f>AVERAGE(Tabla2691625[Tomato average weight per cluster])</f>
        <v>118.47777777777777</v>
      </c>
      <c r="F1119" s="58">
        <f>COUNTA(Tabla2691625["L22" PLANT])</f>
        <v>45</v>
      </c>
      <c r="G1119" s="109">
        <f>SUM(Tabla2691625[Total cluster weight (g)])</f>
        <v>5331.5</v>
      </c>
    </row>
    <row r="1121" spans="1:8" ht="14.7" thickBot="1" x14ac:dyDescent="0.6">
      <c r="A1121" s="5" t="s">
        <v>138</v>
      </c>
      <c r="B1121" t="s">
        <v>3</v>
      </c>
      <c r="C1121" t="s">
        <v>4</v>
      </c>
      <c r="D1121" t="s">
        <v>5</v>
      </c>
      <c r="E1121" t="s">
        <v>214</v>
      </c>
      <c r="F1121" t="s">
        <v>7</v>
      </c>
      <c r="G1121" t="s">
        <v>8</v>
      </c>
      <c r="H1121" s="52" t="s">
        <v>161</v>
      </c>
    </row>
    <row r="1122" spans="1:8" x14ac:dyDescent="0.55000000000000004">
      <c r="A1122" s="6" t="s">
        <v>9</v>
      </c>
      <c r="B1122" s="7">
        <v>52</v>
      </c>
      <c r="C1122" s="7">
        <v>66</v>
      </c>
      <c r="D1122" s="28" t="s">
        <v>37</v>
      </c>
      <c r="E1122" s="9">
        <v>1</v>
      </c>
      <c r="F1122" s="9" t="s">
        <v>35</v>
      </c>
      <c r="G1122" s="9"/>
      <c r="H1122" s="53"/>
    </row>
    <row r="1123" spans="1:8" x14ac:dyDescent="0.55000000000000004">
      <c r="A1123" s="8" t="s">
        <v>10</v>
      </c>
      <c r="B1123" s="9">
        <v>52</v>
      </c>
      <c r="C1123" s="9">
        <v>66</v>
      </c>
      <c r="D1123" s="28" t="s">
        <v>37</v>
      </c>
      <c r="E1123" s="9">
        <v>1</v>
      </c>
      <c r="F1123" s="9" t="s">
        <v>35</v>
      </c>
      <c r="G1123" s="9"/>
      <c r="H1123" s="16"/>
    </row>
    <row r="1124" spans="1:8" x14ac:dyDescent="0.55000000000000004">
      <c r="A1124" s="10" t="s">
        <v>11</v>
      </c>
      <c r="B1124" s="9">
        <v>51</v>
      </c>
      <c r="C1124" s="9">
        <v>62</v>
      </c>
      <c r="D1124" s="28" t="s">
        <v>37</v>
      </c>
      <c r="E1124" s="9">
        <v>1</v>
      </c>
      <c r="F1124" s="12" t="s">
        <v>36</v>
      </c>
      <c r="G1124" s="9"/>
      <c r="H1124" s="18"/>
    </row>
    <row r="1125" spans="1:8" x14ac:dyDescent="0.55000000000000004">
      <c r="A1125" s="34" t="s">
        <v>12</v>
      </c>
      <c r="B1125" s="12">
        <v>50</v>
      </c>
      <c r="C1125" s="12">
        <v>62</v>
      </c>
      <c r="D1125" s="28" t="s">
        <v>37</v>
      </c>
      <c r="E1125" s="9">
        <v>1</v>
      </c>
      <c r="F1125" s="12" t="s">
        <v>36</v>
      </c>
      <c r="G1125" s="9"/>
      <c r="H1125" s="16"/>
    </row>
    <row r="1126" spans="1:8" ht="14.7" thickBot="1" x14ac:dyDescent="0.6">
      <c r="A1126" s="35" t="s">
        <v>13</v>
      </c>
      <c r="B1126" s="14">
        <v>53</v>
      </c>
      <c r="C1126" s="14">
        <v>65</v>
      </c>
      <c r="D1126" s="23" t="s">
        <v>37</v>
      </c>
      <c r="E1126" s="14">
        <v>1</v>
      </c>
      <c r="F1126" s="14" t="s">
        <v>36</v>
      </c>
      <c r="G1126" s="14">
        <v>556.5</v>
      </c>
      <c r="H1126" s="19">
        <f>Tabla26916252[[#This Row],[Total cluster weight (g)]]/COUNTA(A1122:A1126)</f>
        <v>111.3</v>
      </c>
    </row>
    <row r="1127" spans="1:8" x14ac:dyDescent="0.55000000000000004">
      <c r="A1127" s="6" t="s">
        <v>41</v>
      </c>
      <c r="B1127" s="7">
        <v>45</v>
      </c>
      <c r="C1127" s="7">
        <v>63</v>
      </c>
      <c r="D1127" s="21" t="s">
        <v>37</v>
      </c>
      <c r="E1127" s="9">
        <v>2</v>
      </c>
      <c r="F1127" s="9" t="s">
        <v>35</v>
      </c>
      <c r="G1127" s="9"/>
      <c r="H1127" s="68"/>
    </row>
    <row r="1128" spans="1:8" x14ac:dyDescent="0.55000000000000004">
      <c r="A1128" s="8" t="s">
        <v>42</v>
      </c>
      <c r="B1128" s="9">
        <v>49</v>
      </c>
      <c r="C1128" s="9">
        <v>69</v>
      </c>
      <c r="D1128" s="21" t="s">
        <v>37</v>
      </c>
      <c r="E1128" s="9">
        <v>2</v>
      </c>
      <c r="F1128" s="9" t="s">
        <v>35</v>
      </c>
      <c r="G1128" s="9"/>
      <c r="H1128" s="18"/>
    </row>
    <row r="1129" spans="1:8" x14ac:dyDescent="0.55000000000000004">
      <c r="A1129" s="10" t="s">
        <v>43</v>
      </c>
      <c r="B1129" s="9">
        <v>51</v>
      </c>
      <c r="C1129" s="9">
        <v>64</v>
      </c>
      <c r="D1129" s="21" t="s">
        <v>37</v>
      </c>
      <c r="E1129" s="9">
        <v>2</v>
      </c>
      <c r="F1129" s="9" t="s">
        <v>35</v>
      </c>
      <c r="G1129" s="9"/>
      <c r="H1129" s="16"/>
    </row>
    <row r="1130" spans="1:8" x14ac:dyDescent="0.55000000000000004">
      <c r="A1130" s="11" t="s">
        <v>47</v>
      </c>
      <c r="B1130" s="12">
        <v>55</v>
      </c>
      <c r="C1130" s="12">
        <v>64</v>
      </c>
      <c r="D1130" s="21" t="s">
        <v>37</v>
      </c>
      <c r="E1130" s="9">
        <v>2</v>
      </c>
      <c r="F1130" s="9" t="s">
        <v>36</v>
      </c>
      <c r="G1130" s="9"/>
      <c r="H1130" s="18"/>
    </row>
    <row r="1131" spans="1:8" ht="14.7" thickBot="1" x14ac:dyDescent="0.6">
      <c r="A1131" s="13" t="s">
        <v>48</v>
      </c>
      <c r="B1131" s="14">
        <v>55</v>
      </c>
      <c r="C1131" s="14">
        <v>67</v>
      </c>
      <c r="D1131" s="23" t="s">
        <v>37</v>
      </c>
      <c r="E1131" s="14">
        <v>2</v>
      </c>
      <c r="F1131" s="14" t="s">
        <v>36</v>
      </c>
      <c r="G1131" s="14">
        <v>508</v>
      </c>
      <c r="H1131" s="27">
        <f>Tabla26916252[[#This Row],[Total cluster weight (g)]]/COUNTA(A1127:A1131)</f>
        <v>101.6</v>
      </c>
    </row>
    <row r="1132" spans="1:8" x14ac:dyDescent="0.55000000000000004">
      <c r="A1132" s="34" t="s">
        <v>49</v>
      </c>
      <c r="B1132" s="12">
        <v>50</v>
      </c>
      <c r="C1132" s="12">
        <v>63</v>
      </c>
      <c r="D1132" s="28" t="s">
        <v>37</v>
      </c>
      <c r="E1132" s="12">
        <v>3</v>
      </c>
      <c r="F1132" s="12" t="s">
        <v>35</v>
      </c>
      <c r="G1132" s="12"/>
      <c r="H1132" s="68"/>
    </row>
    <row r="1133" spans="1:8" x14ac:dyDescent="0.55000000000000004">
      <c r="A1133" s="10" t="s">
        <v>50</v>
      </c>
      <c r="B1133" s="9">
        <v>55</v>
      </c>
      <c r="C1133" s="9">
        <v>67</v>
      </c>
      <c r="D1133" s="21" t="s">
        <v>37</v>
      </c>
      <c r="E1133" s="9">
        <v>3</v>
      </c>
      <c r="F1133" s="9" t="s">
        <v>36</v>
      </c>
      <c r="G1133" s="9"/>
      <c r="H1133" s="16"/>
    </row>
    <row r="1134" spans="1:8" x14ac:dyDescent="0.55000000000000004">
      <c r="A1134" s="10" t="s">
        <v>51</v>
      </c>
      <c r="B1134" s="9">
        <v>56</v>
      </c>
      <c r="C1134" s="9">
        <v>71</v>
      </c>
      <c r="D1134" s="21" t="s">
        <v>37</v>
      </c>
      <c r="E1134" s="9">
        <v>3</v>
      </c>
      <c r="F1134" s="9" t="s">
        <v>36</v>
      </c>
      <c r="G1134" s="9"/>
      <c r="H1134" s="16"/>
    </row>
    <row r="1135" spans="1:8" x14ac:dyDescent="0.55000000000000004">
      <c r="A1135" s="10" t="s">
        <v>52</v>
      </c>
      <c r="B1135" s="9">
        <v>55</v>
      </c>
      <c r="C1135" s="9">
        <v>71</v>
      </c>
      <c r="D1135" s="21" t="s">
        <v>37</v>
      </c>
      <c r="E1135" s="9">
        <v>3</v>
      </c>
      <c r="F1135" s="9" t="s">
        <v>36</v>
      </c>
      <c r="G1135" s="9"/>
      <c r="H1135" s="16"/>
    </row>
    <row r="1136" spans="1:8" ht="14.7" thickBot="1" x14ac:dyDescent="0.6">
      <c r="A1136" s="35" t="s">
        <v>53</v>
      </c>
      <c r="B1136" s="14">
        <v>55</v>
      </c>
      <c r="C1136" s="14">
        <v>72</v>
      </c>
      <c r="D1136" s="23" t="s">
        <v>37</v>
      </c>
      <c r="E1136" s="14">
        <v>3</v>
      </c>
      <c r="F1136" s="14" t="s">
        <v>36</v>
      </c>
      <c r="G1136" s="14">
        <v>610</v>
      </c>
      <c r="H1136" s="27">
        <f>Tabla26916252[[#This Row],[Total cluster weight (g)]]/COUNTA(A1132:A1136)</f>
        <v>122</v>
      </c>
    </row>
    <row r="1137" spans="1:8" x14ac:dyDescent="0.55000000000000004">
      <c r="A1137" s="34" t="s">
        <v>243</v>
      </c>
      <c r="B1137" s="12">
        <v>43</v>
      </c>
      <c r="C1137" s="12">
        <v>50</v>
      </c>
      <c r="D1137" s="28" t="s">
        <v>37</v>
      </c>
      <c r="E1137" s="12">
        <v>4</v>
      </c>
      <c r="F1137" s="12" t="s">
        <v>35</v>
      </c>
      <c r="G1137" s="12"/>
      <c r="H1137" s="68"/>
    </row>
    <row r="1138" spans="1:8" x14ac:dyDescent="0.55000000000000004">
      <c r="A1138" s="10" t="s">
        <v>244</v>
      </c>
      <c r="B1138" s="9">
        <v>49</v>
      </c>
      <c r="C1138" s="9">
        <v>59</v>
      </c>
      <c r="D1138" s="21" t="s">
        <v>37</v>
      </c>
      <c r="E1138" s="9">
        <v>4</v>
      </c>
      <c r="F1138" s="9" t="s">
        <v>35</v>
      </c>
      <c r="G1138" s="9"/>
      <c r="H1138" s="16"/>
    </row>
    <row r="1139" spans="1:8" x14ac:dyDescent="0.55000000000000004">
      <c r="A1139" s="10" t="s">
        <v>99</v>
      </c>
      <c r="B1139" s="9">
        <v>53</v>
      </c>
      <c r="C1139" s="9">
        <v>66</v>
      </c>
      <c r="D1139" s="21" t="s">
        <v>37</v>
      </c>
      <c r="E1139" s="9">
        <v>4</v>
      </c>
      <c r="F1139" s="9" t="s">
        <v>36</v>
      </c>
      <c r="G1139" s="9"/>
      <c r="H1139" s="16"/>
    </row>
    <row r="1140" spans="1:8" x14ac:dyDescent="0.55000000000000004">
      <c r="A1140" s="10" t="s">
        <v>245</v>
      </c>
      <c r="B1140" s="9">
        <v>52</v>
      </c>
      <c r="C1140" s="9">
        <v>64</v>
      </c>
      <c r="D1140" s="21" t="s">
        <v>37</v>
      </c>
      <c r="E1140" s="9">
        <v>4</v>
      </c>
      <c r="F1140" s="9" t="s">
        <v>36</v>
      </c>
      <c r="G1140" s="9"/>
      <c r="H1140" s="16"/>
    </row>
    <row r="1141" spans="1:8" x14ac:dyDescent="0.55000000000000004">
      <c r="A1141" s="10" t="s">
        <v>71</v>
      </c>
      <c r="B1141" s="9">
        <v>54</v>
      </c>
      <c r="C1141" s="9">
        <v>66</v>
      </c>
      <c r="D1141" s="21" t="s">
        <v>37</v>
      </c>
      <c r="E1141" s="9">
        <v>4</v>
      </c>
      <c r="F1141" s="9" t="s">
        <v>36</v>
      </c>
      <c r="G1141" s="9"/>
      <c r="H1141" s="16"/>
    </row>
    <row r="1142" spans="1:8" ht="14.7" thickBot="1" x14ac:dyDescent="0.6">
      <c r="A1142" s="35" t="s">
        <v>89</v>
      </c>
      <c r="B1142" s="14">
        <v>54</v>
      </c>
      <c r="C1142" s="14">
        <v>70</v>
      </c>
      <c r="D1142" s="23" t="s">
        <v>37</v>
      </c>
      <c r="E1142" s="14">
        <v>4</v>
      </c>
      <c r="F1142" s="14" t="s">
        <v>36</v>
      </c>
      <c r="G1142" s="14">
        <v>639.5</v>
      </c>
      <c r="H1142" s="27">
        <f>Tabla26916252[[#This Row],[Total cluster weight (g)]]/COUNTA(A1137:A1142)</f>
        <v>106.58333333333333</v>
      </c>
    </row>
    <row r="1143" spans="1:8" x14ac:dyDescent="0.55000000000000004">
      <c r="A1143" s="34" t="s">
        <v>92</v>
      </c>
      <c r="B1143" s="12">
        <v>48</v>
      </c>
      <c r="C1143" s="12">
        <v>58</v>
      </c>
      <c r="D1143" s="28" t="s">
        <v>37</v>
      </c>
      <c r="E1143" s="12">
        <v>5</v>
      </c>
      <c r="F1143" s="12" t="s">
        <v>35</v>
      </c>
      <c r="G1143" s="12"/>
      <c r="H1143" s="68"/>
    </row>
    <row r="1144" spans="1:8" x14ac:dyDescent="0.55000000000000004">
      <c r="A1144" s="10" t="s">
        <v>93</v>
      </c>
      <c r="B1144" s="9">
        <v>50</v>
      </c>
      <c r="C1144" s="9">
        <v>59</v>
      </c>
      <c r="D1144" s="21" t="s">
        <v>37</v>
      </c>
      <c r="E1144" s="9">
        <v>5</v>
      </c>
      <c r="F1144" s="9" t="s">
        <v>36</v>
      </c>
      <c r="G1144" s="9"/>
      <c r="H1144" s="16"/>
    </row>
    <row r="1145" spans="1:8" x14ac:dyDescent="0.55000000000000004">
      <c r="A1145" s="10" t="s">
        <v>94</v>
      </c>
      <c r="B1145" s="9">
        <v>50</v>
      </c>
      <c r="C1145" s="9">
        <v>59</v>
      </c>
      <c r="D1145" s="21" t="s">
        <v>37</v>
      </c>
      <c r="E1145" s="9">
        <v>5</v>
      </c>
      <c r="F1145" s="9" t="s">
        <v>36</v>
      </c>
      <c r="G1145" s="9"/>
      <c r="H1145" s="16"/>
    </row>
    <row r="1146" spans="1:8" x14ac:dyDescent="0.55000000000000004">
      <c r="A1146" s="10" t="s">
        <v>95</v>
      </c>
      <c r="B1146" s="9">
        <v>49</v>
      </c>
      <c r="C1146" s="9">
        <v>60</v>
      </c>
      <c r="D1146" s="21" t="s">
        <v>37</v>
      </c>
      <c r="E1146" s="9">
        <v>5</v>
      </c>
      <c r="F1146" s="9" t="s">
        <v>36</v>
      </c>
      <c r="G1146" s="9"/>
      <c r="H1146" s="16"/>
    </row>
    <row r="1147" spans="1:8" ht="14.7" thickBot="1" x14ac:dyDescent="0.6">
      <c r="A1147" s="35" t="s">
        <v>144</v>
      </c>
      <c r="B1147" s="14">
        <v>47</v>
      </c>
      <c r="C1147" s="14">
        <v>56</v>
      </c>
      <c r="D1147" s="23" t="s">
        <v>37</v>
      </c>
      <c r="E1147" s="14">
        <v>5</v>
      </c>
      <c r="F1147" s="14" t="s">
        <v>36</v>
      </c>
      <c r="G1147" s="14">
        <v>447</v>
      </c>
      <c r="H1147" s="27">
        <f>Tabla26916252[[#This Row],[Total cluster weight (g)]]/COUNTA(A1143:A1147)</f>
        <v>89.4</v>
      </c>
    </row>
    <row r="1148" spans="1:8" x14ac:dyDescent="0.55000000000000004">
      <c r="A1148" s="34" t="s">
        <v>150</v>
      </c>
      <c r="B1148" s="12">
        <v>45</v>
      </c>
      <c r="C1148" s="12">
        <v>58</v>
      </c>
      <c r="D1148" s="28" t="s">
        <v>37</v>
      </c>
      <c r="E1148" s="12">
        <v>6</v>
      </c>
      <c r="F1148" s="12" t="s">
        <v>36</v>
      </c>
      <c r="G1148" s="12"/>
      <c r="H1148" s="68"/>
    </row>
    <row r="1149" spans="1:8" x14ac:dyDescent="0.55000000000000004">
      <c r="A1149" s="10" t="s">
        <v>151</v>
      </c>
      <c r="B1149" s="9">
        <v>45</v>
      </c>
      <c r="C1149" s="9">
        <v>55</v>
      </c>
      <c r="D1149" s="21" t="s">
        <v>37</v>
      </c>
      <c r="E1149" s="9">
        <v>6</v>
      </c>
      <c r="F1149" s="9" t="s">
        <v>36</v>
      </c>
      <c r="G1149" s="9"/>
      <c r="H1149" s="16"/>
    </row>
    <row r="1150" spans="1:8" x14ac:dyDescent="0.55000000000000004">
      <c r="A1150" s="10" t="s">
        <v>152</v>
      </c>
      <c r="B1150" s="9">
        <v>42</v>
      </c>
      <c r="C1150" s="9">
        <v>51</v>
      </c>
      <c r="D1150" s="21" t="s">
        <v>37</v>
      </c>
      <c r="E1150" s="9">
        <v>6</v>
      </c>
      <c r="F1150" s="9" t="s">
        <v>36</v>
      </c>
      <c r="G1150" s="9"/>
      <c r="H1150" s="16"/>
    </row>
    <row r="1151" spans="1:8" x14ac:dyDescent="0.55000000000000004">
      <c r="A1151" s="10" t="s">
        <v>153</v>
      </c>
      <c r="B1151" s="9">
        <v>41</v>
      </c>
      <c r="C1151" s="9">
        <v>47</v>
      </c>
      <c r="D1151" s="21" t="s">
        <v>37</v>
      </c>
      <c r="E1151" s="9">
        <v>6</v>
      </c>
      <c r="F1151" s="9" t="s">
        <v>36</v>
      </c>
      <c r="G1151" s="9"/>
      <c r="H1151" s="16"/>
    </row>
    <row r="1152" spans="1:8" ht="14.7" thickBot="1" x14ac:dyDescent="0.6">
      <c r="A1152" s="35" t="s">
        <v>158</v>
      </c>
      <c r="B1152" s="14">
        <v>49</v>
      </c>
      <c r="C1152" s="14">
        <v>58</v>
      </c>
      <c r="D1152" s="23" t="s">
        <v>37</v>
      </c>
      <c r="E1152" s="14">
        <v>6</v>
      </c>
      <c r="F1152" s="14" t="s">
        <v>36</v>
      </c>
      <c r="G1152" s="14">
        <v>348</v>
      </c>
      <c r="H1152" s="27">
        <f>Tabla26916252[[#This Row],[Total cluster weight (g)]]/COUNTA(A1148:A1152)</f>
        <v>69.599999999999994</v>
      </c>
    </row>
    <row r="1153" spans="1:8" x14ac:dyDescent="0.55000000000000004">
      <c r="A1153" s="6" t="s">
        <v>312</v>
      </c>
      <c r="B1153" s="7">
        <v>51</v>
      </c>
      <c r="C1153" s="7">
        <v>62</v>
      </c>
      <c r="D1153" s="9" t="s">
        <v>37</v>
      </c>
      <c r="E1153" s="9">
        <v>7</v>
      </c>
      <c r="F1153" s="20" t="s">
        <v>68</v>
      </c>
      <c r="G1153" s="9"/>
      <c r="H1153" s="54"/>
    </row>
    <row r="1154" spans="1:8" x14ac:dyDescent="0.55000000000000004">
      <c r="A1154" s="8" t="s">
        <v>313</v>
      </c>
      <c r="B1154" s="9">
        <v>55</v>
      </c>
      <c r="C1154" s="9">
        <v>64</v>
      </c>
      <c r="D1154" s="9" t="s">
        <v>37</v>
      </c>
      <c r="E1154" s="9">
        <v>7</v>
      </c>
      <c r="F1154" s="9" t="s">
        <v>35</v>
      </c>
      <c r="G1154" s="9"/>
      <c r="H1154" s="54"/>
    </row>
    <row r="1155" spans="1:8" x14ac:dyDescent="0.55000000000000004">
      <c r="A1155" s="10" t="s">
        <v>314</v>
      </c>
      <c r="B1155" s="9">
        <v>56</v>
      </c>
      <c r="C1155" s="9">
        <v>66</v>
      </c>
      <c r="D1155" s="9" t="s">
        <v>37</v>
      </c>
      <c r="E1155" s="9">
        <v>7</v>
      </c>
      <c r="F1155" s="9" t="s">
        <v>36</v>
      </c>
      <c r="G1155" s="9"/>
      <c r="H1155" s="54"/>
    </row>
    <row r="1156" spans="1:8" x14ac:dyDescent="0.55000000000000004">
      <c r="A1156" s="11" t="s">
        <v>218</v>
      </c>
      <c r="B1156" s="12">
        <v>55</v>
      </c>
      <c r="C1156" s="12">
        <v>63</v>
      </c>
      <c r="D1156" s="9" t="s">
        <v>37</v>
      </c>
      <c r="E1156" s="9">
        <v>7</v>
      </c>
      <c r="F1156" s="9" t="s">
        <v>36</v>
      </c>
      <c r="G1156" s="9"/>
      <c r="H1156" s="54"/>
    </row>
    <row r="1157" spans="1:8" x14ac:dyDescent="0.55000000000000004">
      <c r="A1157" s="10" t="s">
        <v>219</v>
      </c>
      <c r="B1157" s="9">
        <v>55</v>
      </c>
      <c r="C1157" s="9">
        <v>65</v>
      </c>
      <c r="D1157" s="9" t="s">
        <v>37</v>
      </c>
      <c r="E1157" s="9">
        <v>7</v>
      </c>
      <c r="F1157" s="9" t="s">
        <v>36</v>
      </c>
      <c r="G1157" s="9"/>
      <c r="H1157" s="54"/>
    </row>
    <row r="1158" spans="1:8" ht="14.7" thickBot="1" x14ac:dyDescent="0.6">
      <c r="A1158" s="48" t="s">
        <v>222</v>
      </c>
      <c r="B1158" s="22">
        <v>52</v>
      </c>
      <c r="C1158" s="22">
        <v>65</v>
      </c>
      <c r="D1158" s="22">
        <v>124.5</v>
      </c>
      <c r="E1158" s="22">
        <v>7</v>
      </c>
      <c r="F1158" s="22" t="s">
        <v>36</v>
      </c>
      <c r="G1158" s="14">
        <v>752.5</v>
      </c>
      <c r="H1158" s="161">
        <f>Tabla26916252[[#This Row],[Total cluster weight (g)]]/COUNTA(A1153:A1158)</f>
        <v>125.41666666666667</v>
      </c>
    </row>
    <row r="1160" spans="1:8" x14ac:dyDescent="0.55000000000000004">
      <c r="A1160" s="59" t="s">
        <v>212</v>
      </c>
      <c r="B1160" s="55" t="s">
        <v>162</v>
      </c>
      <c r="C1160" s="55" t="s">
        <v>163</v>
      </c>
      <c r="D1160" s="55" t="s">
        <v>164</v>
      </c>
      <c r="E1160" s="55" t="s">
        <v>165</v>
      </c>
      <c r="F1160" s="56" t="s">
        <v>189</v>
      </c>
      <c r="G1160" s="110" t="s">
        <v>230</v>
      </c>
    </row>
    <row r="1161" spans="1:8" x14ac:dyDescent="0.55000000000000004">
      <c r="A1161" s="60" t="s">
        <v>166</v>
      </c>
      <c r="B1161" s="57">
        <f>AVERAGE(Tabla26916252[Height (mm)])</f>
        <v>50.783783783783782</v>
      </c>
      <c r="C1161" s="57">
        <f>AVERAGE(Tabla26916252[Width (mm)])</f>
        <v>62.513513513513516</v>
      </c>
      <c r="D1161" s="57">
        <f>MAX(Tabla26916252[Cluster number *])</f>
        <v>7</v>
      </c>
      <c r="E1161" s="57">
        <f>AVERAGE(Tabla26916252[Tomato average weight per cluster])</f>
        <v>103.7</v>
      </c>
      <c r="F1161" s="58">
        <f>COUNTA(Tabla26916252["L23" PLANT])</f>
        <v>37</v>
      </c>
      <c r="G1161" s="109">
        <f>SUM(Tabla26916252[Total cluster weight (g)])</f>
        <v>3861.5</v>
      </c>
    </row>
    <row r="1163" spans="1:8" ht="14.7" thickBot="1" x14ac:dyDescent="0.6">
      <c r="A1163" s="49" t="s">
        <v>220</v>
      </c>
      <c r="B1163" s="50" t="s">
        <v>3</v>
      </c>
      <c r="C1163" s="50" t="s">
        <v>4</v>
      </c>
      <c r="D1163" s="50" t="s">
        <v>5</v>
      </c>
      <c r="E1163" s="50" t="s">
        <v>214</v>
      </c>
      <c r="F1163" s="50" t="s">
        <v>7</v>
      </c>
      <c r="G1163" s="50" t="s">
        <v>8</v>
      </c>
      <c r="H1163" s="51" t="s">
        <v>161</v>
      </c>
    </row>
    <row r="1164" spans="1:8" x14ac:dyDescent="0.55000000000000004">
      <c r="A1164" s="99" t="s">
        <v>9</v>
      </c>
      <c r="B1164" s="100">
        <v>57</v>
      </c>
      <c r="C1164" s="100">
        <v>67</v>
      </c>
      <c r="D1164" s="24" t="s">
        <v>37</v>
      </c>
      <c r="E1164" s="18">
        <v>1</v>
      </c>
      <c r="F1164" s="18" t="s">
        <v>36</v>
      </c>
      <c r="G1164" s="18"/>
      <c r="H1164" s="53"/>
    </row>
    <row r="1165" spans="1:8" x14ac:dyDescent="0.55000000000000004">
      <c r="A1165" s="8" t="s">
        <v>10</v>
      </c>
      <c r="B1165" s="16">
        <v>59</v>
      </c>
      <c r="C1165" s="16">
        <v>70</v>
      </c>
      <c r="D1165" s="21" t="s">
        <v>37</v>
      </c>
      <c r="E1165" s="16">
        <v>1</v>
      </c>
      <c r="F1165" s="16" t="s">
        <v>36</v>
      </c>
      <c r="G1165" s="16"/>
      <c r="H1165" s="16"/>
    </row>
    <row r="1166" spans="1:8" x14ac:dyDescent="0.55000000000000004">
      <c r="A1166" s="17" t="s">
        <v>11</v>
      </c>
      <c r="B1166" s="18">
        <v>57</v>
      </c>
      <c r="C1166" s="18">
        <v>70</v>
      </c>
      <c r="D1166" s="24" t="s">
        <v>37</v>
      </c>
      <c r="E1166" s="18">
        <v>1</v>
      </c>
      <c r="F1166" s="18" t="s">
        <v>36</v>
      </c>
      <c r="G1166" s="18"/>
      <c r="H1166" s="18"/>
    </row>
    <row r="1167" spans="1:8" x14ac:dyDescent="0.55000000000000004">
      <c r="A1167" s="101" t="s">
        <v>12</v>
      </c>
      <c r="B1167" s="98">
        <v>59</v>
      </c>
      <c r="C1167" s="98">
        <v>71</v>
      </c>
      <c r="D1167" s="21" t="s">
        <v>37</v>
      </c>
      <c r="E1167" s="16">
        <v>1</v>
      </c>
      <c r="F1167" s="16" t="s">
        <v>36</v>
      </c>
      <c r="G1167" s="16"/>
      <c r="H1167" s="16"/>
    </row>
    <row r="1168" spans="1:8" ht="14.7" thickBot="1" x14ac:dyDescent="0.6">
      <c r="A1168" s="115" t="s">
        <v>13</v>
      </c>
      <c r="B1168" s="19">
        <v>55</v>
      </c>
      <c r="C1168" s="19">
        <v>72</v>
      </c>
      <c r="D1168" s="25" t="s">
        <v>37</v>
      </c>
      <c r="E1168" s="19">
        <v>1</v>
      </c>
      <c r="F1168" s="19" t="s">
        <v>36</v>
      </c>
      <c r="G1168" s="19">
        <v>781.5</v>
      </c>
      <c r="H1168" s="19">
        <f>G1168/COUNTA(A1164:A1168)</f>
        <v>156.30000000000001</v>
      </c>
    </row>
    <row r="1169" spans="1:8" x14ac:dyDescent="0.55000000000000004">
      <c r="A1169" s="127" t="s">
        <v>77</v>
      </c>
      <c r="B1169" s="79">
        <v>57</v>
      </c>
      <c r="C1169" s="79">
        <v>72</v>
      </c>
      <c r="D1169" s="128" t="s">
        <v>37</v>
      </c>
      <c r="E1169" s="79">
        <v>2</v>
      </c>
      <c r="F1169" s="79" t="s">
        <v>36</v>
      </c>
      <c r="G1169" s="79"/>
      <c r="H1169" s="79"/>
    </row>
    <row r="1170" spans="1:8" x14ac:dyDescent="0.55000000000000004">
      <c r="A1170" s="17" t="s">
        <v>159</v>
      </c>
      <c r="B1170" s="18">
        <v>55</v>
      </c>
      <c r="C1170" s="18">
        <v>69</v>
      </c>
      <c r="D1170" s="24" t="s">
        <v>37</v>
      </c>
      <c r="E1170" s="18">
        <v>2</v>
      </c>
      <c r="F1170" s="18" t="s">
        <v>36</v>
      </c>
      <c r="G1170" s="18"/>
      <c r="H1170" s="18"/>
    </row>
    <row r="1171" spans="1:8" x14ac:dyDescent="0.55000000000000004">
      <c r="A1171" s="129" t="s">
        <v>160</v>
      </c>
      <c r="B1171" s="130">
        <v>59</v>
      </c>
      <c r="C1171" s="130">
        <v>72</v>
      </c>
      <c r="D1171" s="131" t="s">
        <v>37</v>
      </c>
      <c r="E1171" s="130">
        <v>2</v>
      </c>
      <c r="F1171" s="130" t="s">
        <v>36</v>
      </c>
      <c r="G1171" s="130"/>
      <c r="H1171" s="130"/>
    </row>
    <row r="1172" spans="1:8" x14ac:dyDescent="0.55000000000000004">
      <c r="A1172" s="17" t="s">
        <v>47</v>
      </c>
      <c r="B1172" s="18">
        <v>55</v>
      </c>
      <c r="C1172" s="18">
        <v>71</v>
      </c>
      <c r="D1172" s="24" t="s">
        <v>37</v>
      </c>
      <c r="E1172" s="18">
        <v>2</v>
      </c>
      <c r="F1172" s="18" t="s">
        <v>36</v>
      </c>
      <c r="G1172" s="18"/>
      <c r="H1172" s="18"/>
    </row>
    <row r="1173" spans="1:8" ht="14.7" thickBot="1" x14ac:dyDescent="0.6">
      <c r="A1173" s="141" t="s">
        <v>48</v>
      </c>
      <c r="B1173" s="142">
        <v>59</v>
      </c>
      <c r="C1173" s="142">
        <v>80</v>
      </c>
      <c r="D1173" s="143" t="s">
        <v>37</v>
      </c>
      <c r="E1173" s="142">
        <v>2</v>
      </c>
      <c r="F1173" s="142" t="s">
        <v>36</v>
      </c>
      <c r="G1173" s="142">
        <v>819.5</v>
      </c>
      <c r="H1173" s="142">
        <f>G1173/COUNTA(A1169:A1173)</f>
        <v>163.9</v>
      </c>
    </row>
    <row r="1174" spans="1:8" x14ac:dyDescent="0.55000000000000004">
      <c r="A1174" s="139" t="s">
        <v>49</v>
      </c>
      <c r="B1174" s="66">
        <v>55</v>
      </c>
      <c r="C1174" s="66">
        <v>69</v>
      </c>
      <c r="D1174" s="140" t="s">
        <v>37</v>
      </c>
      <c r="E1174" s="66">
        <v>3</v>
      </c>
      <c r="F1174" s="66" t="s">
        <v>35</v>
      </c>
      <c r="G1174" s="66"/>
      <c r="H1174" s="66"/>
    </row>
    <row r="1175" spans="1:8" x14ac:dyDescent="0.55000000000000004">
      <c r="A1175" s="138" t="s">
        <v>50</v>
      </c>
      <c r="B1175" s="126">
        <v>57</v>
      </c>
      <c r="C1175" s="126">
        <v>67</v>
      </c>
      <c r="D1175" s="119" t="s">
        <v>37</v>
      </c>
      <c r="E1175" s="126">
        <v>3</v>
      </c>
      <c r="F1175" s="126" t="s">
        <v>36</v>
      </c>
      <c r="G1175" s="126"/>
      <c r="H1175" s="126"/>
    </row>
    <row r="1176" spans="1:8" x14ac:dyDescent="0.55000000000000004">
      <c r="A1176" s="17" t="s">
        <v>51</v>
      </c>
      <c r="B1176" s="18">
        <v>56</v>
      </c>
      <c r="C1176" s="18">
        <v>73</v>
      </c>
      <c r="D1176" s="24" t="s">
        <v>37</v>
      </c>
      <c r="E1176" s="18">
        <v>3</v>
      </c>
      <c r="F1176" s="18" t="s">
        <v>36</v>
      </c>
      <c r="G1176" s="18"/>
      <c r="H1176" s="18"/>
    </row>
    <row r="1177" spans="1:8" x14ac:dyDescent="0.55000000000000004">
      <c r="A1177" s="138" t="s">
        <v>52</v>
      </c>
      <c r="B1177" s="126">
        <v>59</v>
      </c>
      <c r="C1177" s="126">
        <v>71</v>
      </c>
      <c r="D1177" s="119" t="s">
        <v>37</v>
      </c>
      <c r="E1177" s="126">
        <v>3</v>
      </c>
      <c r="F1177" s="126" t="s">
        <v>36</v>
      </c>
      <c r="G1177" s="126"/>
      <c r="H1177" s="126"/>
    </row>
    <row r="1178" spans="1:8" ht="14.7" thickBot="1" x14ac:dyDescent="0.6">
      <c r="A1178" s="148" t="s">
        <v>53</v>
      </c>
      <c r="B1178" s="149">
        <v>55</v>
      </c>
      <c r="C1178" s="149">
        <v>74</v>
      </c>
      <c r="D1178" s="150" t="s">
        <v>37</v>
      </c>
      <c r="E1178" s="149">
        <v>3</v>
      </c>
      <c r="F1178" s="149" t="s">
        <v>36</v>
      </c>
      <c r="G1178" s="149">
        <v>778.5</v>
      </c>
      <c r="H1178" s="149">
        <f>G1178/COUNTA(A1174:A1178)</f>
        <v>155.69999999999999</v>
      </c>
    </row>
    <row r="1179" spans="1:8" x14ac:dyDescent="0.55000000000000004">
      <c r="A1179" s="121" t="s">
        <v>80</v>
      </c>
      <c r="B1179" s="147">
        <v>60</v>
      </c>
      <c r="C1179" s="147">
        <v>70</v>
      </c>
      <c r="D1179" s="123" t="s">
        <v>37</v>
      </c>
      <c r="E1179" s="147">
        <v>4</v>
      </c>
      <c r="F1179" s="147" t="s">
        <v>36</v>
      </c>
      <c r="G1179" s="147"/>
      <c r="H1179" s="147"/>
    </row>
    <row r="1180" spans="1:8" x14ac:dyDescent="0.55000000000000004">
      <c r="A1180" s="138" t="s">
        <v>81</v>
      </c>
      <c r="B1180" s="126">
        <v>56</v>
      </c>
      <c r="C1180" s="126">
        <v>64</v>
      </c>
      <c r="D1180" s="119" t="s">
        <v>37</v>
      </c>
      <c r="E1180" s="126">
        <v>4</v>
      </c>
      <c r="F1180" s="126" t="s">
        <v>36</v>
      </c>
      <c r="G1180" s="126"/>
      <c r="H1180" s="126"/>
    </row>
    <row r="1181" spans="1:8" x14ac:dyDescent="0.55000000000000004">
      <c r="A1181" s="138" t="s">
        <v>66</v>
      </c>
      <c r="B1181" s="126">
        <v>52</v>
      </c>
      <c r="C1181" s="126">
        <v>62</v>
      </c>
      <c r="D1181" s="119" t="s">
        <v>37</v>
      </c>
      <c r="E1181" s="126">
        <v>4</v>
      </c>
      <c r="F1181" s="126" t="s">
        <v>36</v>
      </c>
      <c r="G1181" s="126"/>
      <c r="H1181" s="126"/>
    </row>
    <row r="1182" spans="1:8" x14ac:dyDescent="0.55000000000000004">
      <c r="A1182" s="138" t="s">
        <v>67</v>
      </c>
      <c r="B1182" s="126">
        <v>54</v>
      </c>
      <c r="C1182" s="126">
        <v>63</v>
      </c>
      <c r="D1182" s="119" t="s">
        <v>37</v>
      </c>
      <c r="E1182" s="126">
        <v>4</v>
      </c>
      <c r="F1182" s="126" t="s">
        <v>36</v>
      </c>
      <c r="G1182" s="126"/>
      <c r="H1182" s="126"/>
    </row>
    <row r="1183" spans="1:8" ht="14.7" thickBot="1" x14ac:dyDescent="0.6">
      <c r="A1183" s="148" t="s">
        <v>71</v>
      </c>
      <c r="B1183" s="149">
        <v>58</v>
      </c>
      <c r="C1183" s="149">
        <v>75</v>
      </c>
      <c r="D1183" s="150" t="s">
        <v>37</v>
      </c>
      <c r="E1183" s="149">
        <v>4</v>
      </c>
      <c r="F1183" s="149" t="s">
        <v>36</v>
      </c>
      <c r="G1183" s="149">
        <v>703.5</v>
      </c>
      <c r="H1183" s="149">
        <f>G1183/COUNTA(A1179:A1183)</f>
        <v>140.69999999999999</v>
      </c>
    </row>
    <row r="1184" spans="1:8" x14ac:dyDescent="0.55000000000000004">
      <c r="A1184" s="121" t="s">
        <v>89</v>
      </c>
      <c r="B1184" s="147">
        <v>59</v>
      </c>
      <c r="C1184" s="147">
        <v>72</v>
      </c>
      <c r="D1184" s="123" t="s">
        <v>37</v>
      </c>
      <c r="E1184" s="147">
        <v>5</v>
      </c>
      <c r="F1184" s="147" t="s">
        <v>35</v>
      </c>
      <c r="G1184" s="147"/>
      <c r="H1184" s="147"/>
    </row>
    <row r="1185" spans="1:8" x14ac:dyDescent="0.55000000000000004">
      <c r="A1185" s="138" t="s">
        <v>92</v>
      </c>
      <c r="B1185" s="126">
        <v>63</v>
      </c>
      <c r="C1185" s="126">
        <v>72</v>
      </c>
      <c r="D1185" s="119" t="s">
        <v>37</v>
      </c>
      <c r="E1185" s="126">
        <v>5</v>
      </c>
      <c r="F1185" s="126" t="s">
        <v>35</v>
      </c>
      <c r="G1185" s="126"/>
      <c r="H1185" s="126"/>
    </row>
    <row r="1186" spans="1:8" x14ac:dyDescent="0.55000000000000004">
      <c r="A1186" s="138" t="s">
        <v>93</v>
      </c>
      <c r="B1186" s="126">
        <v>61</v>
      </c>
      <c r="C1186" s="126">
        <v>74</v>
      </c>
      <c r="D1186" s="119" t="s">
        <v>37</v>
      </c>
      <c r="E1186" s="126">
        <v>5</v>
      </c>
      <c r="F1186" s="126" t="s">
        <v>35</v>
      </c>
      <c r="G1186" s="126"/>
      <c r="H1186" s="126"/>
    </row>
    <row r="1187" spans="1:8" x14ac:dyDescent="0.55000000000000004">
      <c r="A1187" s="138" t="s">
        <v>94</v>
      </c>
      <c r="B1187" s="126">
        <v>60</v>
      </c>
      <c r="C1187" s="126">
        <v>75</v>
      </c>
      <c r="D1187" s="119" t="s">
        <v>37</v>
      </c>
      <c r="E1187" s="126">
        <v>5</v>
      </c>
      <c r="F1187" s="126" t="s">
        <v>35</v>
      </c>
      <c r="G1187" s="126"/>
      <c r="H1187" s="126"/>
    </row>
    <row r="1188" spans="1:8" x14ac:dyDescent="0.55000000000000004">
      <c r="A1188" s="146" t="s">
        <v>95</v>
      </c>
      <c r="B1188" s="132">
        <v>56</v>
      </c>
      <c r="C1188" s="132">
        <v>69</v>
      </c>
      <c r="D1188" s="133" t="s">
        <v>37</v>
      </c>
      <c r="E1188" s="132">
        <v>5</v>
      </c>
      <c r="F1188" s="132" t="s">
        <v>35</v>
      </c>
      <c r="G1188" s="132">
        <v>870</v>
      </c>
      <c r="H1188" s="132">
        <f>G1188/COUNTA(A1184:A1188)</f>
        <v>174</v>
      </c>
    </row>
    <row r="1190" spans="1:8" x14ac:dyDescent="0.55000000000000004">
      <c r="A1190" s="59" t="s">
        <v>221</v>
      </c>
      <c r="B1190" s="55" t="s">
        <v>162</v>
      </c>
      <c r="C1190" s="55" t="s">
        <v>163</v>
      </c>
      <c r="D1190" s="55" t="s">
        <v>164</v>
      </c>
      <c r="E1190" s="55" t="s">
        <v>165</v>
      </c>
      <c r="F1190" s="56" t="s">
        <v>189</v>
      </c>
      <c r="G1190" s="110" t="s">
        <v>230</v>
      </c>
    </row>
    <row r="1191" spans="1:8" x14ac:dyDescent="0.55000000000000004">
      <c r="A1191" s="60" t="s">
        <v>166</v>
      </c>
      <c r="B1191" s="57">
        <f>AVERAGE(Tabla140[Height (mm)])</f>
        <v>57.32</v>
      </c>
      <c r="C1191" s="57">
        <f>AVERAGE(Tabla140[Width (mm)])</f>
        <v>70.56</v>
      </c>
      <c r="D1191" s="57">
        <f>MAX(Tabla140[Cluster number *])</f>
        <v>5</v>
      </c>
      <c r="E1191" s="57">
        <f>AVERAGE(Tabla140[Tomato average weight per cluster])</f>
        <v>158.12</v>
      </c>
      <c r="F1191" s="58">
        <f>COUNTA(Tabla140["L24" PLANT])</f>
        <v>25</v>
      </c>
      <c r="G1191" s="109">
        <f>SUM(Tabla140[Total cluster weight (g)])</f>
        <v>3953</v>
      </c>
    </row>
    <row r="1193" spans="1:8" ht="14.7" thickBot="1" x14ac:dyDescent="0.6">
      <c r="A1193" s="49" t="s">
        <v>246</v>
      </c>
      <c r="B1193" s="50" t="s">
        <v>3</v>
      </c>
      <c r="C1193" s="50" t="s">
        <v>4</v>
      </c>
      <c r="D1193" s="50" t="s">
        <v>5</v>
      </c>
      <c r="E1193" s="50" t="s">
        <v>214</v>
      </c>
      <c r="F1193" s="50" t="s">
        <v>7</v>
      </c>
      <c r="G1193" s="50" t="s">
        <v>8</v>
      </c>
      <c r="H1193" s="51" t="s">
        <v>161</v>
      </c>
    </row>
    <row r="1194" spans="1:8" x14ac:dyDescent="0.55000000000000004">
      <c r="A1194" s="99" t="s">
        <v>238</v>
      </c>
      <c r="B1194" s="100">
        <v>50</v>
      </c>
      <c r="C1194" s="100">
        <v>66</v>
      </c>
      <c r="D1194" s="24" t="s">
        <v>37</v>
      </c>
      <c r="E1194" s="18">
        <v>1</v>
      </c>
      <c r="F1194" s="18" t="s">
        <v>35</v>
      </c>
      <c r="G1194" s="18"/>
      <c r="H1194" s="53"/>
    </row>
    <row r="1195" spans="1:8" x14ac:dyDescent="0.55000000000000004">
      <c r="A1195" s="151" t="s">
        <v>62</v>
      </c>
      <c r="B1195" s="126">
        <v>50</v>
      </c>
      <c r="C1195" s="126">
        <v>61</v>
      </c>
      <c r="D1195" s="119" t="s">
        <v>37</v>
      </c>
      <c r="E1195" s="126">
        <v>1</v>
      </c>
      <c r="F1195" s="126" t="s">
        <v>35</v>
      </c>
      <c r="G1195" s="126"/>
      <c r="H1195" s="126"/>
    </row>
    <row r="1196" spans="1:8" x14ac:dyDescent="0.55000000000000004">
      <c r="A1196" s="138" t="s">
        <v>239</v>
      </c>
      <c r="B1196" s="126">
        <v>51</v>
      </c>
      <c r="C1196" s="126">
        <v>66</v>
      </c>
      <c r="D1196" s="119" t="s">
        <v>37</v>
      </c>
      <c r="E1196" s="126">
        <v>1</v>
      </c>
      <c r="F1196" s="126" t="s">
        <v>36</v>
      </c>
      <c r="G1196" s="126"/>
      <c r="H1196" s="126"/>
    </row>
    <row r="1197" spans="1:8" x14ac:dyDescent="0.55000000000000004">
      <c r="A1197" s="152" t="s">
        <v>12</v>
      </c>
      <c r="B1197" s="153">
        <v>52</v>
      </c>
      <c r="C1197" s="153">
        <v>62</v>
      </c>
      <c r="D1197" s="119" t="s">
        <v>37</v>
      </c>
      <c r="E1197" s="126">
        <v>1</v>
      </c>
      <c r="F1197" s="126" t="s">
        <v>36</v>
      </c>
      <c r="G1197" s="126"/>
      <c r="H1197" s="126"/>
    </row>
    <row r="1198" spans="1:8" ht="14.7" thickBot="1" x14ac:dyDescent="0.6">
      <c r="A1198" s="154" t="s">
        <v>13</v>
      </c>
      <c r="B1198" s="149">
        <v>52</v>
      </c>
      <c r="C1198" s="149">
        <v>68</v>
      </c>
      <c r="D1198" s="150" t="s">
        <v>37</v>
      </c>
      <c r="E1198" s="149">
        <v>1</v>
      </c>
      <c r="F1198" s="149" t="s">
        <v>36</v>
      </c>
      <c r="G1198" s="149">
        <v>529</v>
      </c>
      <c r="H1198" s="149">
        <f>Tabla144[[#This Row],[Total cluster weight (g)]]/COUNTA(A1194:A1198)</f>
        <v>105.8</v>
      </c>
    </row>
    <row r="1199" spans="1:8" x14ac:dyDescent="0.55000000000000004">
      <c r="A1199" s="121" t="s">
        <v>41</v>
      </c>
      <c r="B1199" s="147">
        <v>47</v>
      </c>
      <c r="C1199" s="147">
        <v>56</v>
      </c>
      <c r="D1199" s="123" t="s">
        <v>37</v>
      </c>
      <c r="E1199" s="147">
        <v>2</v>
      </c>
      <c r="F1199" s="147" t="s">
        <v>68</v>
      </c>
      <c r="G1199" s="147"/>
      <c r="H1199" s="124"/>
    </row>
    <row r="1200" spans="1:8" x14ac:dyDescent="0.55000000000000004">
      <c r="A1200" s="138" t="s">
        <v>42</v>
      </c>
      <c r="B1200" s="126">
        <v>46</v>
      </c>
      <c r="C1200" s="126">
        <v>56</v>
      </c>
      <c r="D1200" s="119" t="s">
        <v>37</v>
      </c>
      <c r="E1200" s="126">
        <v>2</v>
      </c>
      <c r="F1200" s="126" t="s">
        <v>35</v>
      </c>
      <c r="G1200" s="126"/>
      <c r="H1200" s="120"/>
    </row>
    <row r="1201" spans="1:8" x14ac:dyDescent="0.55000000000000004">
      <c r="A1201" s="138" t="s">
        <v>43</v>
      </c>
      <c r="B1201" s="126">
        <v>47</v>
      </c>
      <c r="C1201" s="126">
        <v>53</v>
      </c>
      <c r="D1201" s="119" t="s">
        <v>37</v>
      </c>
      <c r="E1201" s="126">
        <v>2</v>
      </c>
      <c r="F1201" s="126" t="s">
        <v>36</v>
      </c>
      <c r="G1201" s="126"/>
      <c r="H1201" s="120"/>
    </row>
    <row r="1202" spans="1:8" x14ac:dyDescent="0.55000000000000004">
      <c r="A1202" s="138" t="s">
        <v>47</v>
      </c>
      <c r="B1202" s="126">
        <v>50</v>
      </c>
      <c r="C1202" s="126">
        <v>58</v>
      </c>
      <c r="D1202" s="119" t="s">
        <v>37</v>
      </c>
      <c r="E1202" s="126">
        <v>2</v>
      </c>
      <c r="F1202" s="126" t="s">
        <v>36</v>
      </c>
      <c r="G1202" s="126"/>
      <c r="H1202" s="120"/>
    </row>
    <row r="1203" spans="1:8" ht="14.7" thickBot="1" x14ac:dyDescent="0.6">
      <c r="A1203" s="148" t="s">
        <v>48</v>
      </c>
      <c r="B1203" s="149">
        <v>53</v>
      </c>
      <c r="C1203" s="149">
        <v>59</v>
      </c>
      <c r="D1203" s="150" t="s">
        <v>37</v>
      </c>
      <c r="E1203" s="149">
        <v>2</v>
      </c>
      <c r="F1203" s="149" t="s">
        <v>36</v>
      </c>
      <c r="G1203" s="149">
        <v>412</v>
      </c>
      <c r="H1203" s="125">
        <f>Tabla144[[#This Row],[Total cluster weight (g)]]/COUNTA(A1199:A1203)</f>
        <v>82.4</v>
      </c>
    </row>
    <row r="1204" spans="1:8" x14ac:dyDescent="0.55000000000000004">
      <c r="A1204" s="121" t="s">
        <v>49</v>
      </c>
      <c r="B1204" s="147">
        <v>57</v>
      </c>
      <c r="C1204" s="147">
        <v>64</v>
      </c>
      <c r="D1204" s="123" t="s">
        <v>37</v>
      </c>
      <c r="E1204" s="147">
        <v>3</v>
      </c>
      <c r="F1204" s="147" t="s">
        <v>35</v>
      </c>
      <c r="G1204" s="147"/>
      <c r="H1204" s="124"/>
    </row>
    <row r="1205" spans="1:8" x14ac:dyDescent="0.55000000000000004">
      <c r="A1205" s="138" t="s">
        <v>50</v>
      </c>
      <c r="B1205" s="126">
        <v>57</v>
      </c>
      <c r="C1205" s="126">
        <v>62</v>
      </c>
      <c r="D1205" s="119" t="s">
        <v>37</v>
      </c>
      <c r="E1205" s="126">
        <v>3</v>
      </c>
      <c r="F1205" s="126" t="s">
        <v>36</v>
      </c>
      <c r="G1205" s="126"/>
      <c r="H1205" s="120"/>
    </row>
    <row r="1206" spans="1:8" x14ac:dyDescent="0.55000000000000004">
      <c r="A1206" s="138" t="s">
        <v>51</v>
      </c>
      <c r="B1206" s="126">
        <v>55</v>
      </c>
      <c r="C1206" s="126">
        <v>62</v>
      </c>
      <c r="D1206" s="119" t="s">
        <v>37</v>
      </c>
      <c r="E1206" s="126">
        <v>3</v>
      </c>
      <c r="F1206" s="126" t="s">
        <v>36</v>
      </c>
      <c r="G1206" s="126"/>
      <c r="H1206" s="120"/>
    </row>
    <row r="1207" spans="1:8" ht="14.7" thickBot="1" x14ac:dyDescent="0.6">
      <c r="A1207" s="148" t="s">
        <v>52</v>
      </c>
      <c r="B1207" s="149">
        <v>56</v>
      </c>
      <c r="C1207" s="149">
        <v>65</v>
      </c>
      <c r="D1207" s="150" t="s">
        <v>37</v>
      </c>
      <c r="E1207" s="149">
        <v>3</v>
      </c>
      <c r="F1207" s="149" t="s">
        <v>36</v>
      </c>
      <c r="G1207" s="149">
        <v>487</v>
      </c>
      <c r="H1207" s="125">
        <f>Tabla144[[#This Row],[Total cluster weight (g)]]/COUNTA(A1204:A1207)</f>
        <v>121.75</v>
      </c>
    </row>
    <row r="1208" spans="1:8" x14ac:dyDescent="0.55000000000000004">
      <c r="A1208" s="121" t="s">
        <v>53</v>
      </c>
      <c r="B1208" s="147">
        <v>53</v>
      </c>
      <c r="C1208" s="147">
        <v>59</v>
      </c>
      <c r="D1208" s="123" t="s">
        <v>37</v>
      </c>
      <c r="E1208" s="147">
        <v>4</v>
      </c>
      <c r="F1208" s="147" t="s">
        <v>35</v>
      </c>
      <c r="G1208" s="147"/>
      <c r="H1208" s="124"/>
    </row>
    <row r="1209" spans="1:8" x14ac:dyDescent="0.55000000000000004">
      <c r="A1209" s="138" t="s">
        <v>80</v>
      </c>
      <c r="B1209" s="126">
        <v>54</v>
      </c>
      <c r="C1209" s="126">
        <v>62</v>
      </c>
      <c r="D1209" s="119" t="s">
        <v>37</v>
      </c>
      <c r="E1209" s="126">
        <v>4</v>
      </c>
      <c r="F1209" s="126" t="s">
        <v>35</v>
      </c>
      <c r="G1209" s="126"/>
      <c r="H1209" s="120"/>
    </row>
    <row r="1210" spans="1:8" x14ac:dyDescent="0.55000000000000004">
      <c r="A1210" s="138" t="s">
        <v>81</v>
      </c>
      <c r="B1210" s="126">
        <v>56</v>
      </c>
      <c r="C1210" s="126">
        <v>60</v>
      </c>
      <c r="D1210" s="119" t="s">
        <v>37</v>
      </c>
      <c r="E1210" s="126">
        <v>4</v>
      </c>
      <c r="F1210" s="126" t="s">
        <v>35</v>
      </c>
      <c r="G1210" s="126"/>
      <c r="H1210" s="120"/>
    </row>
    <row r="1211" spans="1:8" x14ac:dyDescent="0.55000000000000004">
      <c r="A1211" s="138" t="s">
        <v>66</v>
      </c>
      <c r="B1211" s="126">
        <v>58</v>
      </c>
      <c r="C1211" s="126">
        <v>63</v>
      </c>
      <c r="D1211" s="119" t="s">
        <v>37</v>
      </c>
      <c r="E1211" s="126">
        <v>4</v>
      </c>
      <c r="F1211" s="126" t="s">
        <v>35</v>
      </c>
      <c r="G1211" s="126"/>
      <c r="H1211" s="120"/>
    </row>
    <row r="1212" spans="1:8" x14ac:dyDescent="0.55000000000000004">
      <c r="A1212" s="146" t="s">
        <v>67</v>
      </c>
      <c r="B1212" s="132">
        <v>60</v>
      </c>
      <c r="C1212" s="132">
        <v>69</v>
      </c>
      <c r="D1212" s="133" t="s">
        <v>37</v>
      </c>
      <c r="E1212" s="132">
        <v>4</v>
      </c>
      <c r="F1212" s="132" t="s">
        <v>36</v>
      </c>
      <c r="G1212" s="132">
        <v>611</v>
      </c>
      <c r="H1212" s="134">
        <f>Tabla144[[#This Row],[Total cluster weight (g)]]/COUNTA(A1208:A1212)</f>
        <v>122.2</v>
      </c>
    </row>
    <row r="1214" spans="1:8" x14ac:dyDescent="0.55000000000000004">
      <c r="A1214" s="59" t="s">
        <v>247</v>
      </c>
      <c r="B1214" s="55" t="s">
        <v>162</v>
      </c>
      <c r="C1214" s="55" t="s">
        <v>163</v>
      </c>
      <c r="D1214" s="55" t="s">
        <v>164</v>
      </c>
      <c r="E1214" s="55" t="s">
        <v>165</v>
      </c>
      <c r="F1214" s="56" t="s">
        <v>189</v>
      </c>
      <c r="G1214" s="110" t="s">
        <v>230</v>
      </c>
    </row>
    <row r="1215" spans="1:8" x14ac:dyDescent="0.55000000000000004">
      <c r="A1215" s="60" t="s">
        <v>166</v>
      </c>
      <c r="B1215" s="57">
        <f>AVERAGE(Tabla144[Height (mm)])</f>
        <v>52.842105263157897</v>
      </c>
      <c r="C1215" s="57">
        <f>AVERAGE(Tabla144[Width (mm)])</f>
        <v>61.631578947368418</v>
      </c>
      <c r="D1215" s="57">
        <f>MAX(Tabla144[Cluster number *])</f>
        <v>4</v>
      </c>
      <c r="E1215" s="57">
        <f>AVERAGE(Tabla144[Tomato average weight per cluster])</f>
        <v>108.03749999999999</v>
      </c>
      <c r="F1215" s="58">
        <f>COUNTA(Tabla144["L25" PLANT])</f>
        <v>19</v>
      </c>
      <c r="G1215" s="109">
        <f>SUM(Tabla144[Total cluster weight (g)])</f>
        <v>2039</v>
      </c>
    </row>
    <row r="1217" spans="1:9" ht="14.7" thickBot="1" x14ac:dyDescent="0.6">
      <c r="A1217" s="49" t="s">
        <v>261</v>
      </c>
      <c r="B1217" s="50" t="s">
        <v>3</v>
      </c>
      <c r="C1217" s="50" t="s">
        <v>4</v>
      </c>
      <c r="D1217" s="50" t="s">
        <v>5</v>
      </c>
      <c r="E1217" s="50" t="s">
        <v>214</v>
      </c>
      <c r="F1217" s="50" t="s">
        <v>7</v>
      </c>
      <c r="G1217" s="50" t="s">
        <v>8</v>
      </c>
      <c r="H1217" s="51" t="s">
        <v>161</v>
      </c>
    </row>
    <row r="1218" spans="1:9" x14ac:dyDescent="0.55000000000000004">
      <c r="A1218" s="155" t="s">
        <v>9</v>
      </c>
      <c r="B1218" s="156">
        <v>55</v>
      </c>
      <c r="C1218" s="156">
        <v>72</v>
      </c>
      <c r="D1218" s="119" t="s">
        <v>37</v>
      </c>
      <c r="E1218" s="126">
        <v>1</v>
      </c>
      <c r="F1218" s="126" t="s">
        <v>35</v>
      </c>
      <c r="G1218" s="126"/>
      <c r="H1218" s="153"/>
      <c r="I1218" s="104"/>
    </row>
    <row r="1219" spans="1:9" x14ac:dyDescent="0.55000000000000004">
      <c r="A1219" s="151" t="s">
        <v>10</v>
      </c>
      <c r="B1219" s="126">
        <v>56</v>
      </c>
      <c r="C1219" s="126">
        <v>77</v>
      </c>
      <c r="D1219" s="119" t="s">
        <v>37</v>
      </c>
      <c r="E1219" s="126">
        <v>1</v>
      </c>
      <c r="F1219" s="126" t="s">
        <v>35</v>
      </c>
      <c r="G1219" s="126"/>
      <c r="H1219" s="126"/>
      <c r="I1219" s="104"/>
    </row>
    <row r="1220" spans="1:9" x14ac:dyDescent="0.55000000000000004">
      <c r="A1220" s="138" t="s">
        <v>11</v>
      </c>
      <c r="B1220" s="126">
        <v>59</v>
      </c>
      <c r="C1220" s="126">
        <v>72</v>
      </c>
      <c r="D1220" s="119" t="s">
        <v>37</v>
      </c>
      <c r="E1220" s="126">
        <v>1</v>
      </c>
      <c r="F1220" s="126" t="s">
        <v>36</v>
      </c>
      <c r="G1220" s="126"/>
      <c r="H1220" s="126"/>
      <c r="I1220" s="104"/>
    </row>
    <row r="1221" spans="1:9" x14ac:dyDescent="0.55000000000000004">
      <c r="A1221" s="152" t="s">
        <v>12</v>
      </c>
      <c r="B1221" s="153">
        <v>59</v>
      </c>
      <c r="C1221" s="153">
        <v>72</v>
      </c>
      <c r="D1221" s="119" t="s">
        <v>37</v>
      </c>
      <c r="E1221" s="126">
        <v>1</v>
      </c>
      <c r="F1221" s="126" t="s">
        <v>36</v>
      </c>
      <c r="G1221" s="126"/>
      <c r="H1221" s="126"/>
      <c r="I1221" s="104"/>
    </row>
    <row r="1222" spans="1:9" ht="14.7" thickBot="1" x14ac:dyDescent="0.6">
      <c r="A1222" s="154" t="s">
        <v>13</v>
      </c>
      <c r="B1222" s="149">
        <v>52</v>
      </c>
      <c r="C1222" s="149">
        <v>65</v>
      </c>
      <c r="D1222" s="150" t="s">
        <v>37</v>
      </c>
      <c r="E1222" s="149">
        <v>1</v>
      </c>
      <c r="F1222" s="149" t="s">
        <v>36</v>
      </c>
      <c r="G1222" s="149">
        <v>783.5</v>
      </c>
      <c r="H1222" s="149">
        <f>Tabla142[[#This Row],[Total cluster weight (g)]]/COUNTA(A1218:A1222)</f>
        <v>156.69999999999999</v>
      </c>
      <c r="I1222" s="104"/>
    </row>
    <row r="1223" spans="1:9" x14ac:dyDescent="0.55000000000000004">
      <c r="A1223" s="121" t="s">
        <v>41</v>
      </c>
      <c r="B1223" s="147">
        <v>55</v>
      </c>
      <c r="C1223" s="147">
        <v>69</v>
      </c>
      <c r="D1223" s="123" t="s">
        <v>37</v>
      </c>
      <c r="E1223" s="147">
        <v>2</v>
      </c>
      <c r="F1223" s="147" t="s">
        <v>36</v>
      </c>
      <c r="G1223" s="147"/>
      <c r="H1223" s="147"/>
      <c r="I1223" s="104"/>
    </row>
    <row r="1224" spans="1:9" x14ac:dyDescent="0.55000000000000004">
      <c r="A1224" s="138" t="s">
        <v>42</v>
      </c>
      <c r="B1224" s="126">
        <v>55</v>
      </c>
      <c r="C1224" s="126">
        <v>68</v>
      </c>
      <c r="D1224" s="119" t="s">
        <v>37</v>
      </c>
      <c r="E1224" s="126">
        <v>2</v>
      </c>
      <c r="F1224" s="126" t="s">
        <v>36</v>
      </c>
      <c r="G1224" s="126"/>
      <c r="H1224" s="126"/>
      <c r="I1224" s="104"/>
    </row>
    <row r="1225" spans="1:9" x14ac:dyDescent="0.55000000000000004">
      <c r="A1225" s="138" t="s">
        <v>43</v>
      </c>
      <c r="B1225" s="126">
        <v>55</v>
      </c>
      <c r="C1225" s="126">
        <v>71</v>
      </c>
      <c r="D1225" s="119" t="s">
        <v>37</v>
      </c>
      <c r="E1225" s="126">
        <v>2</v>
      </c>
      <c r="F1225" s="126" t="s">
        <v>36</v>
      </c>
      <c r="G1225" s="126">
        <v>447</v>
      </c>
      <c r="H1225" s="126">
        <f>Tabla142[[#This Row],[Total cluster weight (g)]]/COUNTA(A1223:A1225)</f>
        <v>149</v>
      </c>
      <c r="I1225" s="104"/>
    </row>
    <row r="1226" spans="1:9" x14ac:dyDescent="0.55000000000000004">
      <c r="A1226" s="104"/>
      <c r="B1226" s="104"/>
      <c r="C1226" s="104"/>
      <c r="D1226" s="104"/>
      <c r="E1226" s="104"/>
      <c r="F1226" s="104"/>
      <c r="G1226" s="104"/>
      <c r="H1226" s="104"/>
      <c r="I1226" s="104"/>
    </row>
    <row r="1227" spans="1:9" x14ac:dyDescent="0.55000000000000004">
      <c r="A1227" s="59" t="s">
        <v>262</v>
      </c>
      <c r="B1227" s="55" t="s">
        <v>162</v>
      </c>
      <c r="C1227" s="55" t="s">
        <v>163</v>
      </c>
      <c r="D1227" s="55" t="s">
        <v>164</v>
      </c>
      <c r="E1227" s="55" t="s">
        <v>165</v>
      </c>
      <c r="F1227" s="56" t="s">
        <v>189</v>
      </c>
      <c r="G1227" s="110" t="s">
        <v>230</v>
      </c>
    </row>
    <row r="1228" spans="1:9" x14ac:dyDescent="0.55000000000000004">
      <c r="A1228" s="60" t="s">
        <v>166</v>
      </c>
      <c r="B1228" s="57">
        <f>AVERAGE(Tabla142[Height (mm)])</f>
        <v>55.75</v>
      </c>
      <c r="C1228" s="57">
        <f>AVERAGE(Tabla142[Width (mm)])</f>
        <v>70.75</v>
      </c>
      <c r="D1228" s="57">
        <f>MAX(Tabla142[Cluster number *])</f>
        <v>2</v>
      </c>
      <c r="E1228" s="57">
        <f>AVERAGE(Tabla142[Tomato average weight per cluster])</f>
        <v>152.85</v>
      </c>
      <c r="F1228" s="58">
        <f>COUNTA(Tabla142["L26" PLANT])</f>
        <v>8</v>
      </c>
      <c r="G1228" s="109">
        <f>SUM(Tabla142[Tomato average weight per cluster])</f>
        <v>305.7</v>
      </c>
    </row>
  </sheetData>
  <pageMargins left="0.7" right="0.7" top="0.75" bottom="0.75" header="0.3" footer="0.3"/>
  <ignoredErrors>
    <ignoredError sqref="H1225 H1212 H1207 H1203 H1198" calculatedColumn="1"/>
  </ignoredErrors>
  <tableParts count="5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Treatment C</vt:lpstr>
      <vt:lpstr>Treatment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2025-02-17T13:17:38Z</dcterms:modified>
</cp:coreProperties>
</file>