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2" documentId="11_8B488F6ACBC1BFB7361B91128DCABF9FA08B5B0D" xr6:coauthVersionLast="47" xr6:coauthVersionMax="47" xr10:uidLastSave="{C84AC23D-FD92-4AB9-866B-2FEA37EA2F1E}"/>
  <bookViews>
    <workbookView xWindow="-96" yWindow="-96" windowWidth="23232" windowHeight="12432" xr2:uid="{00000000-000D-0000-FFFF-FFFF00000000}"/>
  </bookViews>
  <sheets>
    <sheet name="Treatment C" sheetId="1" r:id="rId1"/>
    <sheet name="Treatment 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8" i="1" l="1"/>
  <c r="C128" i="1"/>
  <c r="D128" i="1"/>
  <c r="H429" i="2"/>
  <c r="H362" i="2"/>
  <c r="H358" i="2"/>
  <c r="H305" i="2"/>
  <c r="H186" i="2"/>
  <c r="H120" i="2"/>
  <c r="H436" i="1"/>
  <c r="H431" i="1"/>
  <c r="H370" i="1"/>
  <c r="H375" i="1"/>
  <c r="H248" i="1"/>
  <c r="H189" i="1"/>
  <c r="H125" i="1"/>
  <c r="H60" i="1"/>
  <c r="H423" i="2"/>
  <c r="H356" i="2"/>
  <c r="H302" i="2"/>
  <c r="H247" i="2"/>
  <c r="H242" i="2"/>
  <c r="H181" i="2"/>
  <c r="H175" i="2"/>
  <c r="H115" i="2"/>
  <c r="H56" i="2"/>
  <c r="H430" i="1"/>
  <c r="H366" i="1"/>
  <c r="H307" i="1"/>
  <c r="H303" i="1"/>
  <c r="H243" i="1"/>
  <c r="H184" i="1"/>
  <c r="H119" i="1"/>
  <c r="H55" i="1"/>
  <c r="H419" i="2"/>
  <c r="E432" i="2" s="1"/>
  <c r="H351" i="2"/>
  <c r="E365" i="2" s="1"/>
  <c r="H299" i="2"/>
  <c r="H240" i="2"/>
  <c r="H169" i="2"/>
  <c r="H110" i="2"/>
  <c r="H52" i="2"/>
  <c r="H424" i="1"/>
  <c r="H361" i="1"/>
  <c r="H238" i="1"/>
  <c r="H179" i="1"/>
  <c r="H115" i="1"/>
  <c r="H50" i="1"/>
  <c r="H414" i="2"/>
  <c r="H347" i="2"/>
  <c r="H295" i="2"/>
  <c r="H235" i="2"/>
  <c r="E250" i="2" s="1"/>
  <c r="H105" i="2"/>
  <c r="H419" i="1"/>
  <c r="H298" i="1"/>
  <c r="H234" i="1"/>
  <c r="H174" i="1"/>
  <c r="H110" i="1"/>
  <c r="H410" i="2"/>
  <c r="H343" i="2"/>
  <c r="H290" i="2"/>
  <c r="H230" i="2"/>
  <c r="H225" i="2"/>
  <c r="H164" i="2"/>
  <c r="H159" i="2"/>
  <c r="H100" i="2"/>
  <c r="H95" i="2"/>
  <c r="H43" i="2"/>
  <c r="H48" i="2"/>
  <c r="H414" i="1"/>
  <c r="H351" i="1"/>
  <c r="H356" i="1"/>
  <c r="H293" i="1"/>
  <c r="H229" i="1"/>
  <c r="H169" i="1"/>
  <c r="H105" i="1"/>
  <c r="H100" i="1"/>
  <c r="H45" i="1"/>
  <c r="H406" i="2"/>
  <c r="H401" i="2"/>
  <c r="H338" i="2"/>
  <c r="H285" i="2"/>
  <c r="H280" i="2"/>
  <c r="H155" i="2"/>
  <c r="H90" i="2"/>
  <c r="H39" i="2"/>
  <c r="H409" i="1"/>
  <c r="H347" i="1"/>
  <c r="H288" i="1"/>
  <c r="H224" i="1"/>
  <c r="H164" i="1"/>
  <c r="H334" i="2"/>
  <c r="H220" i="2"/>
  <c r="H151" i="2"/>
  <c r="H85" i="2"/>
  <c r="H34" i="2"/>
  <c r="H30" i="2"/>
  <c r="H404" i="1"/>
  <c r="H342" i="1"/>
  <c r="H282" i="1"/>
  <c r="H219" i="1"/>
  <c r="H160" i="1"/>
  <c r="H95" i="1"/>
  <c r="H91" i="1"/>
  <c r="H35" i="1"/>
  <c r="H40" i="1"/>
  <c r="H391" i="2"/>
  <c r="H396" i="2"/>
  <c r="H330" i="2"/>
  <c r="H276" i="2"/>
  <c r="H272" i="2"/>
  <c r="H216" i="2"/>
  <c r="H211" i="2"/>
  <c r="H206" i="2"/>
  <c r="H145" i="2"/>
  <c r="H81" i="2"/>
  <c r="H25" i="2"/>
  <c r="H399" i="1"/>
  <c r="H273" i="1"/>
  <c r="H277" i="1"/>
  <c r="H214" i="1"/>
  <c r="H155" i="1"/>
  <c r="H150" i="1"/>
  <c r="H86" i="1"/>
  <c r="H31" i="1"/>
  <c r="H387" i="2"/>
  <c r="H382" i="2"/>
  <c r="H325" i="2"/>
  <c r="H320" i="2"/>
  <c r="H267" i="2"/>
  <c r="H201" i="2"/>
  <c r="H140" i="2"/>
  <c r="H135" i="2"/>
  <c r="H76" i="2"/>
  <c r="H20" i="2"/>
  <c r="H389" i="1"/>
  <c r="E439" i="1" s="1"/>
  <c r="H394" i="1"/>
  <c r="H337" i="1"/>
  <c r="H332" i="1"/>
  <c r="H267" i="1"/>
  <c r="H209" i="1"/>
  <c r="H204" i="1"/>
  <c r="H145" i="1"/>
  <c r="H140" i="1"/>
  <c r="H80" i="1"/>
  <c r="H26" i="1"/>
  <c r="H262" i="2"/>
  <c r="H71" i="2"/>
  <c r="E123" i="2" s="1"/>
  <c r="H15" i="2"/>
  <c r="H327" i="1"/>
  <c r="H263" i="1"/>
  <c r="H199" i="1"/>
  <c r="E251" i="1" s="1"/>
  <c r="H75" i="1"/>
  <c r="H21" i="1"/>
  <c r="H16" i="1"/>
  <c r="H377" i="2"/>
  <c r="H315" i="2"/>
  <c r="H257" i="2"/>
  <c r="E308" i="2" s="1"/>
  <c r="H196" i="2"/>
  <c r="H130" i="2"/>
  <c r="H66" i="2"/>
  <c r="H10" i="2"/>
  <c r="H385" i="1"/>
  <c r="H322" i="1"/>
  <c r="H317" i="1"/>
  <c r="E378" i="1" s="1"/>
  <c r="H258" i="1"/>
  <c r="E310" i="1" s="1"/>
  <c r="H135" i="1"/>
  <c r="H70" i="1"/>
  <c r="E128" i="1" s="1"/>
  <c r="H11" i="1"/>
  <c r="H372" i="2"/>
  <c r="G432" i="2"/>
  <c r="F432" i="2"/>
  <c r="D432" i="2"/>
  <c r="C432" i="2"/>
  <c r="B432" i="2"/>
  <c r="G365" i="2"/>
  <c r="G308" i="2"/>
  <c r="G250" i="2"/>
  <c r="G189" i="2"/>
  <c r="G123" i="2"/>
  <c r="G59" i="2"/>
  <c r="G63" i="1"/>
  <c r="G128" i="1"/>
  <c r="G192" i="1"/>
  <c r="G251" i="1"/>
  <c r="G310" i="1"/>
  <c r="G378" i="1"/>
  <c r="G439" i="1"/>
  <c r="F365" i="2"/>
  <c r="D365" i="2"/>
  <c r="C365" i="2"/>
  <c r="B365" i="2"/>
  <c r="F308" i="2"/>
  <c r="D308" i="2"/>
  <c r="C308" i="2"/>
  <c r="B308" i="2"/>
  <c r="F250" i="2"/>
  <c r="D250" i="2"/>
  <c r="C250" i="2"/>
  <c r="B250" i="2"/>
  <c r="F189" i="2"/>
  <c r="D189" i="2"/>
  <c r="C189" i="2"/>
  <c r="B189" i="2"/>
  <c r="F123" i="2"/>
  <c r="D123" i="2"/>
  <c r="C123" i="2"/>
  <c r="B123" i="2"/>
  <c r="F59" i="2"/>
  <c r="D59" i="2"/>
  <c r="C59" i="2"/>
  <c r="B59" i="2"/>
  <c r="F439" i="1"/>
  <c r="D439" i="1"/>
  <c r="C439" i="1"/>
  <c r="B439" i="1"/>
  <c r="F378" i="1"/>
  <c r="D378" i="1"/>
  <c r="C378" i="1"/>
  <c r="B378" i="1"/>
  <c r="F310" i="1"/>
  <c r="D310" i="1"/>
  <c r="C310" i="1"/>
  <c r="B310" i="1"/>
  <c r="F251" i="1"/>
  <c r="D251" i="1"/>
  <c r="C251" i="1"/>
  <c r="B251" i="1"/>
  <c r="F192" i="1"/>
  <c r="E192" i="1"/>
  <c r="D192" i="1"/>
  <c r="C192" i="1"/>
  <c r="B192" i="1"/>
  <c r="F128" i="1"/>
  <c r="F63" i="1"/>
  <c r="E63" i="1"/>
  <c r="D63" i="1"/>
  <c r="C63" i="1"/>
  <c r="B63" i="1"/>
  <c r="E189" i="2" l="1"/>
  <c r="E59" i="2"/>
</calcChain>
</file>

<file path=xl/sharedStrings.xml><?xml version="1.0" encoding="utf-8"?>
<sst xmlns="http://schemas.openxmlformats.org/spreadsheetml/2006/main" count="2610" uniqueCount="215">
  <si>
    <t>TREATMENT CONTROL 'C'</t>
  </si>
  <si>
    <t>Fruit data collection per plant</t>
  </si>
  <si>
    <t>Height (mm)</t>
  </si>
  <si>
    <t>Width (mm)</t>
  </si>
  <si>
    <t>Weight (g)</t>
  </si>
  <si>
    <t xml:space="preserve">Cluster number </t>
  </si>
  <si>
    <t>Color</t>
  </si>
  <si>
    <t>Total cluster weight (g)</t>
  </si>
  <si>
    <t>"C11" PLANT</t>
  </si>
  <si>
    <t>"C14" PLANT</t>
  </si>
  <si>
    <t>"C15" PLANT</t>
  </si>
  <si>
    <t>"C16" PLANT</t>
  </si>
  <si>
    <t>"C17" PLANT</t>
  </si>
  <si>
    <t>"C20" PLANT</t>
  </si>
  <si>
    <t>"C21" PLANT</t>
  </si>
  <si>
    <t>Dark orange</t>
  </si>
  <si>
    <t>Red</t>
  </si>
  <si>
    <t>—</t>
  </si>
  <si>
    <t>Tomato 15</t>
  </si>
  <si>
    <t>Dark green</t>
  </si>
  <si>
    <t>Green</t>
  </si>
  <si>
    <t>Tomato 18</t>
  </si>
  <si>
    <t>Tomato 19</t>
  </si>
  <si>
    <t>Light orange</t>
  </si>
  <si>
    <t>Tomato 16</t>
  </si>
  <si>
    <t>Tomato 17</t>
  </si>
  <si>
    <t>Tomato 23</t>
  </si>
  <si>
    <t>Tomato 24</t>
  </si>
  <si>
    <t>Tomato 25</t>
  </si>
  <si>
    <t>Tomato 22 (der)</t>
  </si>
  <si>
    <t>TREATMENT LED 'L'</t>
  </si>
  <si>
    <t>"L11" PLANT</t>
  </si>
  <si>
    <t>"L16" PLANT</t>
  </si>
  <si>
    <t>"L17" PLANT</t>
  </si>
  <si>
    <t>"L20" PLANT</t>
  </si>
  <si>
    <t>"L21" PLANT</t>
  </si>
  <si>
    <t>Tomato 26</t>
  </si>
  <si>
    <t>Tomato 20 (ult)</t>
  </si>
  <si>
    <t>Tomato 27</t>
  </si>
  <si>
    <t>Tomato 28</t>
  </si>
  <si>
    <t>Tomato 29</t>
  </si>
  <si>
    <t>Tomato 30</t>
  </si>
  <si>
    <t>Tomato 31</t>
  </si>
  <si>
    <t>Tomato average weight per cluster</t>
  </si>
  <si>
    <t>Average  height (mm)</t>
  </si>
  <si>
    <t>Average width (mm)</t>
  </si>
  <si>
    <t>Total clusters number</t>
  </si>
  <si>
    <t>Tomato average weight per plant</t>
  </si>
  <si>
    <t>Results</t>
  </si>
  <si>
    <t>PLANT C21</t>
  </si>
  <si>
    <t>PLANT C20</t>
  </si>
  <si>
    <t>PLANT C17</t>
  </si>
  <si>
    <t>PLANT C16</t>
  </si>
  <si>
    <t>PLANT C15</t>
  </si>
  <si>
    <t>PLANT C14</t>
  </si>
  <si>
    <t>PLANT C11</t>
  </si>
  <si>
    <t xml:space="preserve">Total number of tomatoes </t>
  </si>
  <si>
    <t>PLANT L11</t>
  </si>
  <si>
    <t>PLANT L16</t>
  </si>
  <si>
    <t>PLANT L17</t>
  </si>
  <si>
    <t>PLANT L20</t>
  </si>
  <si>
    <t>PLANT L21</t>
  </si>
  <si>
    <t>Cluster number *</t>
  </si>
  <si>
    <t>Tomato 32</t>
  </si>
  <si>
    <t>Tomato 33</t>
  </si>
  <si>
    <t>Tomato 34</t>
  </si>
  <si>
    <t>Tomato 35</t>
  </si>
  <si>
    <t>Tomato 36</t>
  </si>
  <si>
    <t>"L24" PLANT</t>
  </si>
  <si>
    <t>PLANT L24</t>
  </si>
  <si>
    <t>Tomato 37</t>
  </si>
  <si>
    <t>Tomato 38</t>
  </si>
  <si>
    <t>Total weight (g)</t>
  </si>
  <si>
    <t>Tomato 39</t>
  </si>
  <si>
    <t>Tomato 40</t>
  </si>
  <si>
    <t>Tomato 41</t>
  </si>
  <si>
    <t>Tomato 42</t>
  </si>
  <si>
    <t>Tomato 43</t>
  </si>
  <si>
    <t>Tomato 26 (ult)</t>
  </si>
  <si>
    <t>Tomato 27 (izq)</t>
  </si>
  <si>
    <t>Tomato 28 (der)</t>
  </si>
  <si>
    <t>"L25" PLANT</t>
  </si>
  <si>
    <t>PLANT L25</t>
  </si>
  <si>
    <t>Tomato 44</t>
  </si>
  <si>
    <t>Tomato 45</t>
  </si>
  <si>
    <t>Tomato 46</t>
  </si>
  <si>
    <t>Tomato 47</t>
  </si>
  <si>
    <t>Tomato 48</t>
  </si>
  <si>
    <t>Tomato 49</t>
  </si>
  <si>
    <t>Tomato 50</t>
  </si>
  <si>
    <t>Tomato 48 (der)</t>
  </si>
  <si>
    <t>Tomato 52</t>
  </si>
  <si>
    <t>Tomato 53</t>
  </si>
  <si>
    <t>Tomato 42 (der atrás)</t>
  </si>
  <si>
    <t>Tomato 54</t>
  </si>
  <si>
    <t>Tomato 55</t>
  </si>
  <si>
    <t>Tomato 52 (der)</t>
  </si>
  <si>
    <t>Tomato 39 (izq)</t>
  </si>
  <si>
    <t>Tomato 41 (izq)</t>
  </si>
  <si>
    <t>Tomato 51</t>
  </si>
  <si>
    <t>Tomato 46 (izq atrás)</t>
  </si>
  <si>
    <t>Tomato 38 (ult der)</t>
  </si>
  <si>
    <t>Tomato 40 (der atrás)</t>
  </si>
  <si>
    <t>Tomato 51 (izq ult)</t>
  </si>
  <si>
    <t>Tomato 53 (der atrás)</t>
  </si>
  <si>
    <t>Tomato 40 (ult der)</t>
  </si>
  <si>
    <t>Tomato 29 (der atrás)</t>
  </si>
  <si>
    <t>Tomato 56</t>
  </si>
  <si>
    <t>Tomato 57</t>
  </si>
  <si>
    <t>Tomato 58</t>
  </si>
  <si>
    <t>Tomato 59</t>
  </si>
  <si>
    <t>Tomato 60</t>
  </si>
  <si>
    <t>Tomato 27 (der)</t>
  </si>
  <si>
    <t>Tomato 28 (izq)</t>
  </si>
  <si>
    <t>Tomato 21 (izq)</t>
  </si>
  <si>
    <t>Tomato 47 (ult)</t>
  </si>
  <si>
    <t>Tomato 49 (izq)</t>
  </si>
  <si>
    <t>Tomato 44 (izq ult)</t>
  </si>
  <si>
    <t>Tomato 45 (der ult)</t>
  </si>
  <si>
    <t>Tomato 61</t>
  </si>
  <si>
    <t>Tomato 62</t>
  </si>
  <si>
    <t>Tomato 63</t>
  </si>
  <si>
    <t>Tomato 64</t>
  </si>
  <si>
    <t>Tomato 65</t>
  </si>
  <si>
    <t>Tomato 66</t>
  </si>
  <si>
    <t>Tomato 67</t>
  </si>
  <si>
    <t>Tomato 68</t>
  </si>
  <si>
    <t>Tomato 69</t>
  </si>
  <si>
    <t>Tomato 70</t>
  </si>
  <si>
    <t>Dark Orange</t>
  </si>
  <si>
    <t>Light Orange</t>
  </si>
  <si>
    <t>Tomato 71</t>
  </si>
  <si>
    <t>Tomato 72</t>
  </si>
  <si>
    <t>Tomato 73</t>
  </si>
  <si>
    <t>Tomato 74</t>
  </si>
  <si>
    <t>Tomato 75</t>
  </si>
  <si>
    <t>Tomato 76</t>
  </si>
  <si>
    <t>Tomato 77</t>
  </si>
  <si>
    <t>Tomato 78</t>
  </si>
  <si>
    <t>Tomato 79</t>
  </si>
  <si>
    <t>Tomato 80</t>
  </si>
  <si>
    <t>Dark Orage</t>
  </si>
  <si>
    <t>Tomato 81</t>
  </si>
  <si>
    <t>Tomato 82</t>
  </si>
  <si>
    <t>Tomato 83</t>
  </si>
  <si>
    <t>Tomato 84</t>
  </si>
  <si>
    <t>Tomato 85</t>
  </si>
  <si>
    <t>Tomato 81 (ult izq)</t>
  </si>
  <si>
    <t>Tomato 86</t>
  </si>
  <si>
    <t>Tomato 87</t>
  </si>
  <si>
    <t>Tomato 88</t>
  </si>
  <si>
    <t>Tomato 89</t>
  </si>
  <si>
    <t>Tomato 90</t>
  </si>
  <si>
    <t>Tomato 91</t>
  </si>
  <si>
    <t>Tomato 92</t>
  </si>
  <si>
    <t>Tomato 81 (izq)</t>
  </si>
  <si>
    <t>Tomato 79 (der)</t>
  </si>
  <si>
    <t>Tomato 82 (ult)</t>
  </si>
  <si>
    <t>Tomato 83 (izq)</t>
  </si>
  <si>
    <t>Tomato 84 (der)</t>
  </si>
  <si>
    <t>Tomato 78 (izq)</t>
  </si>
  <si>
    <t>Tomato 90 (der ult)</t>
  </si>
  <si>
    <t>Tomato 91 (der)</t>
  </si>
  <si>
    <t>Tomato 92 (der atrás)</t>
  </si>
  <si>
    <t>Tomato 93</t>
  </si>
  <si>
    <t>Tomato 94</t>
  </si>
  <si>
    <t>Tomato 77 (ult der)</t>
  </si>
  <si>
    <t>Tomato 90 (ult)</t>
  </si>
  <si>
    <t>Tomato 92 (izq)</t>
  </si>
  <si>
    <t>Tomato 83 (ult der)</t>
  </si>
  <si>
    <t>Tomato 85 (der atrás)</t>
  </si>
  <si>
    <t>Tomato 54*</t>
  </si>
  <si>
    <t>Tomato 55*</t>
  </si>
  <si>
    <t>Tomato 56*</t>
  </si>
  <si>
    <t>Tomato 54 (ult der)</t>
  </si>
  <si>
    <t>Tomato 55 (izq)</t>
  </si>
  <si>
    <t>Tomato 56 (der)</t>
  </si>
  <si>
    <t>Tomato 82 (izq atrás)</t>
  </si>
  <si>
    <t>Tomato 71 (ult der)</t>
  </si>
  <si>
    <t>Tomato 90 (ult izq)</t>
  </si>
  <si>
    <t>Tomato 91 (izq)</t>
  </si>
  <si>
    <t>Tomato 92 (izq atrás)</t>
  </si>
  <si>
    <t>Tomato 80 (ult izq)</t>
  </si>
  <si>
    <t>Tomato 82 (izq)</t>
  </si>
  <si>
    <t>Tomato 83 (izq atrás)</t>
  </si>
  <si>
    <t>Tomato 95</t>
  </si>
  <si>
    <t>Tomato 96</t>
  </si>
  <si>
    <t>Tomato 97</t>
  </si>
  <si>
    <t>Tomato 98</t>
  </si>
  <si>
    <t>Tomato 99</t>
  </si>
  <si>
    <t>Tomato 59* (izq)</t>
  </si>
  <si>
    <t>Tomato 60* (der)</t>
  </si>
  <si>
    <t>Tomato 72 (der)</t>
  </si>
  <si>
    <t>Tomato 76 (ult der)</t>
  </si>
  <si>
    <t>Tomato 77 (izq)</t>
  </si>
  <si>
    <t>Tomato 78 (izq atrás)</t>
  </si>
  <si>
    <t>Tomato 86 (izq atrás)</t>
  </si>
  <si>
    <t>Tomato 84 (izq)</t>
  </si>
  <si>
    <t>Tomato 85 (der)</t>
  </si>
  <si>
    <t>Tomato 73 (der atrás)</t>
  </si>
  <si>
    <t>Tomato 100</t>
  </si>
  <si>
    <t>Tomato 101</t>
  </si>
  <si>
    <t>Tomato 102</t>
  </si>
  <si>
    <t>Tomato 103</t>
  </si>
  <si>
    <t>Tomato 104</t>
  </si>
  <si>
    <t>Tomato 105</t>
  </si>
  <si>
    <t>Tomato 106</t>
  </si>
  <si>
    <t>Tomato 107</t>
  </si>
  <si>
    <t>Tomato 108</t>
  </si>
  <si>
    <t>Tomato 109</t>
  </si>
  <si>
    <t>Tomato 110</t>
  </si>
  <si>
    <t>Tomato 111</t>
  </si>
  <si>
    <t>Tomato 112</t>
  </si>
  <si>
    <t>Tomato 113</t>
  </si>
  <si>
    <t>Tomato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</si>
</sst>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0" fillId="3" borderId="6" xfId="0" applyFill="1" applyBorder="1"/>
    <xf numFmtId="0" fontId="0" fillId="3" borderId="23" xfId="0" applyFill="1" applyBorder="1"/>
    <xf numFmtId="0" fontId="0" fillId="4" borderId="9" xfId="0" applyFill="1" applyBorder="1"/>
    <xf numFmtId="0" fontId="0" fillId="4" borderId="25" xfId="0" applyFill="1" applyBorder="1"/>
    <xf numFmtId="0" fontId="0" fillId="3" borderId="15" xfId="0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27" xfId="0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4" borderId="0" xfId="0" applyFill="1"/>
    <xf numFmtId="0" fontId="0" fillId="3" borderId="6" xfId="0" applyFill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8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17" xfId="0" applyNumberFormat="1" applyFont="1" applyBorder="1" applyAlignment="1">
      <alignment horizontal="center"/>
    </xf>
    <xf numFmtId="0" fontId="0" fillId="0" borderId="27" xfId="0" applyNumberFormat="1" applyBorder="1"/>
    <xf numFmtId="0" fontId="0" fillId="0" borderId="3" xfId="0" applyFill="1" applyBorder="1" applyAlignment="1">
      <alignment horizontal="center"/>
    </xf>
    <xf numFmtId="0" fontId="0" fillId="0" borderId="0" xfId="0" applyNumberFormat="1" applyFont="1" applyBorder="1" applyAlignment="1">
      <alignment horizontal="left"/>
    </xf>
    <xf numFmtId="0" fontId="0" fillId="0" borderId="27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0" fontId="12" fillId="0" borderId="8" xfId="0" applyNumberFormat="1" applyFont="1" applyFill="1" applyBorder="1" applyAlignment="1">
      <alignment horizontal="center"/>
    </xf>
  </cellXfs>
  <cellStyles count="1">
    <cellStyle name="Normale" xfId="0" builtinId="0"/>
  </cellStyles>
  <dxfs count="292"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39997558519241921"/>
        </patternFill>
      </fill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abla2691462" displayName="Tabla2691462" ref="A6:H60" totalsRowShown="0">
  <autoFilter ref="A6:H60" xr:uid="{00000000-0009-0000-0100-00000B000000}"/>
  <tableColumns count="8">
    <tableColumn id="1" xr3:uid="{00000000-0010-0000-0000-000001000000}" name="&quot;C11&quot; PLANT" dataDxfId="291"/>
    <tableColumn id="2" xr3:uid="{00000000-0010-0000-0000-000002000000}" name="Height (mm)" dataDxfId="290"/>
    <tableColumn id="3" xr3:uid="{00000000-0010-0000-0000-000003000000}" name="Width (mm)" dataDxfId="289"/>
    <tableColumn id="4" xr3:uid="{00000000-0010-0000-0000-000004000000}" name="Weight (g)" dataDxfId="288"/>
    <tableColumn id="5" xr3:uid="{00000000-0010-0000-0000-000005000000}" name="Cluster number " dataDxfId="287"/>
    <tableColumn id="6" xr3:uid="{00000000-0010-0000-0000-000006000000}" name="Color" dataDxfId="286"/>
    <tableColumn id="7" xr3:uid="{00000000-0010-0000-0000-000007000000}" name="Total cluster weight (g)" dataDxfId="285"/>
    <tableColumn id="8" xr3:uid="{00000000-0010-0000-0000-000008000000}" name="Tomato average weight per cluster" dataDxfId="284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9000000}" name="Tabla7089" displayName="Tabla7089" ref="A191:G192" totalsRowShown="0" headerRowDxfId="211" dataDxfId="209" headerRowBorderDxfId="210" tableBorderDxfId="208" totalsRowBorderDxfId="207">
  <autoFilter ref="A191:G192" xr:uid="{00000000-0009-0000-0100-000058000000}"/>
  <tableColumns count="7">
    <tableColumn id="1" xr3:uid="{00000000-0010-0000-0900-000001000000}" name="PLANT C15" dataDxfId="206"/>
    <tableColumn id="2" xr3:uid="{00000000-0010-0000-0900-000002000000}" name="Average  height (mm)" dataDxfId="205">
      <calculatedColumnFormula>AVERAGE(Tabla269161866[Height (mm)])</calculatedColumnFormula>
    </tableColumn>
    <tableColumn id="3" xr3:uid="{00000000-0010-0000-0900-000003000000}" name="Average width (mm)" dataDxfId="204">
      <calculatedColumnFormula>AVERAGE(Tabla269161866[Width (mm)])</calculatedColumnFormula>
    </tableColumn>
    <tableColumn id="4" xr3:uid="{00000000-0010-0000-0900-000004000000}" name="Total clusters number" dataDxfId="203">
      <calculatedColumnFormula>MAX(Tabla269161866[[Cluster number ]])</calculatedColumnFormula>
    </tableColumn>
    <tableColumn id="5" xr3:uid="{00000000-0010-0000-0900-000005000000}" name="Tomato average weight per plant" dataDxfId="202">
      <calculatedColumnFormula>AVERAGE(Tabla269161866[Tomato average weight per cluster])</calculatedColumnFormula>
    </tableColumn>
    <tableColumn id="6" xr3:uid="{00000000-0010-0000-0900-000006000000}" name="Total number of tomatoes " dataDxfId="201">
      <calculatedColumnFormula>COUNTA(Tabla269161866["C15" PLANT])</calculatedColumnFormula>
    </tableColumn>
    <tableColumn id="7" xr3:uid="{00000000-0010-0000-0900-000007000000}" name="Total weight (g)" dataDxfId="200">
      <calculatedColumnFormula>SUM(Tabla269161866[Total cluster weight (g)])</calculatedColumnFormula>
    </tableColumn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A000000}" name="Tabla7091" displayName="Tabla7091" ref="A250:G251" totalsRowShown="0" headerRowDxfId="199" dataDxfId="197" headerRowBorderDxfId="198" tableBorderDxfId="196" totalsRowBorderDxfId="195">
  <autoFilter ref="A250:G251" xr:uid="{00000000-0009-0000-0100-00005A000000}"/>
  <tableColumns count="7">
    <tableColumn id="1" xr3:uid="{00000000-0010-0000-0A00-000001000000}" name="PLANT C16" dataDxfId="194"/>
    <tableColumn id="2" xr3:uid="{00000000-0010-0000-0A00-000002000000}" name="Average  height (mm)" dataDxfId="193">
      <calculatedColumnFormula>AVERAGE(Tabla269161967[Height (mm)])</calculatedColumnFormula>
    </tableColumn>
    <tableColumn id="3" xr3:uid="{00000000-0010-0000-0A00-000003000000}" name="Average width (mm)" dataDxfId="192">
      <calculatedColumnFormula>AVERAGE(Tabla269161967[Width (mm)])</calculatedColumnFormula>
    </tableColumn>
    <tableColumn id="4" xr3:uid="{00000000-0010-0000-0A00-000004000000}" name="Total clusters number" dataDxfId="191">
      <calculatedColumnFormula>MAX(Tabla269161967[[Cluster number ]])</calculatedColumnFormula>
    </tableColumn>
    <tableColumn id="5" xr3:uid="{00000000-0010-0000-0A00-000005000000}" name="Tomato average weight per plant" dataDxfId="190">
      <calculatedColumnFormula>AVERAGE(Tabla269161967[Tomato average weight per cluster])</calculatedColumnFormula>
    </tableColumn>
    <tableColumn id="6" xr3:uid="{00000000-0010-0000-0A00-000006000000}" name="Total number of tomatoes " dataDxfId="189">
      <calculatedColumnFormula>COUNTA(Tabla269161967["C16" PLANT])</calculatedColumnFormula>
    </tableColumn>
    <tableColumn id="7" xr3:uid="{00000000-0010-0000-0A00-000007000000}" name="Total weight (g)" dataDxfId="188">
      <calculatedColumnFormula>SUM(Tabla269161967[Total cluster weight (g)])</calculatedColumnFormula>
    </tableColumn>
  </tableColumns>
  <tableStyleInfo name="TableStyleMedium2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0B000000}" name="Tabla7093" displayName="Tabla7093" ref="A309:G310" totalsRowShown="0" headerRowDxfId="187" dataDxfId="185" headerRowBorderDxfId="186" tableBorderDxfId="184" totalsRowBorderDxfId="183">
  <autoFilter ref="A309:G310" xr:uid="{00000000-0009-0000-0100-00005C000000}"/>
  <tableColumns count="7">
    <tableColumn id="1" xr3:uid="{00000000-0010-0000-0B00-000001000000}" name="PLANT C17" dataDxfId="182"/>
    <tableColumn id="2" xr3:uid="{00000000-0010-0000-0B00-000002000000}" name="Average  height (mm)" dataDxfId="181">
      <calculatedColumnFormula>AVERAGE(Tabla269162068[Height (mm)])</calculatedColumnFormula>
    </tableColumn>
    <tableColumn id="3" xr3:uid="{00000000-0010-0000-0B00-000003000000}" name="Average width (mm)" dataDxfId="180">
      <calculatedColumnFormula>AVERAGE(Tabla269162068[Width (mm)])</calculatedColumnFormula>
    </tableColumn>
    <tableColumn id="4" xr3:uid="{00000000-0010-0000-0B00-000004000000}" name="Total clusters number" dataDxfId="179">
      <calculatedColumnFormula>MAX(Tabla269162068[[Cluster number ]])</calculatedColumnFormula>
    </tableColumn>
    <tableColumn id="5" xr3:uid="{00000000-0010-0000-0B00-000005000000}" name="Tomato average weight per plant" dataDxfId="178">
      <calculatedColumnFormula>AVERAGE(Tabla269162068[Tomato average weight per cluster])</calculatedColumnFormula>
    </tableColumn>
    <tableColumn id="6" xr3:uid="{00000000-0010-0000-0B00-000006000000}" name="Total number of tomatoes " dataDxfId="177">
      <calculatedColumnFormula>COUNTA(Tabla269162068["C17" PLANT])</calculatedColumnFormula>
    </tableColumn>
    <tableColumn id="7" xr3:uid="{00000000-0010-0000-0B00-000007000000}" name="Total weight (g)" dataDxfId="176">
      <calculatedColumnFormula>SUM(Tabla269162068[Total cluster weight (g)])</calculatedColumnFormula>
    </tableColumn>
  </tableColumns>
  <tableStyleInfo name="TableStyleMedium2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0C000000}" name="Tabla7099" displayName="Tabla7099" ref="A377:G378" totalsRowShown="0" headerRowDxfId="175" dataDxfId="173" headerRowBorderDxfId="174" tableBorderDxfId="172" totalsRowBorderDxfId="171">
  <autoFilter ref="A377:G378" xr:uid="{00000000-0009-0000-0100-000062000000}"/>
  <tableColumns count="7">
    <tableColumn id="1" xr3:uid="{00000000-0010-0000-0C00-000001000000}" name="PLANT C20" dataDxfId="170"/>
    <tableColumn id="2" xr3:uid="{00000000-0010-0000-0C00-000002000000}" name="Average  height (mm)" dataDxfId="169">
      <calculatedColumnFormula>AVERAGE(Tabla269162371[Height (mm)])</calculatedColumnFormula>
    </tableColumn>
    <tableColumn id="3" xr3:uid="{00000000-0010-0000-0C00-000003000000}" name="Average width (mm)" dataDxfId="168">
      <calculatedColumnFormula>AVERAGE(Tabla269162371[Width (mm)])</calculatedColumnFormula>
    </tableColumn>
    <tableColumn id="4" xr3:uid="{00000000-0010-0000-0C00-000004000000}" name="Total clusters number" dataDxfId="167">
      <calculatedColumnFormula>MAX(Tabla269162371[[Cluster number ]])</calculatedColumnFormula>
    </tableColumn>
    <tableColumn id="5" xr3:uid="{00000000-0010-0000-0C00-000005000000}" name="Tomato average weight per plant" dataDxfId="166">
      <calculatedColumnFormula>AVERAGE(Tabla269162371[Tomato average weight per cluster])</calculatedColumnFormula>
    </tableColumn>
    <tableColumn id="6" xr3:uid="{00000000-0010-0000-0C00-000006000000}" name="Total number of tomatoes " dataDxfId="165">
      <calculatedColumnFormula>COUNTA(Tabla269162371["C20" PLANT])</calculatedColumnFormula>
    </tableColumn>
    <tableColumn id="7" xr3:uid="{00000000-0010-0000-0C00-000007000000}" name="Total weight (g)" dataDxfId="164">
      <calculatedColumnFormula>SUM(Tabla269162371[Total cluster weight (g)])</calculatedColumnFormula>
    </tableColumn>
  </tableColumns>
  <tableStyleInfo name="TableStyleMedium2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0D000000}" name="Tabla70100" displayName="Tabla70100" ref="A438:G439" totalsRowShown="0" headerRowDxfId="163" dataDxfId="161" headerRowBorderDxfId="162" tableBorderDxfId="160" totalsRowBorderDxfId="159">
  <autoFilter ref="A438:G439" xr:uid="{00000000-0009-0000-0100-000063000000}"/>
  <tableColumns count="7">
    <tableColumn id="1" xr3:uid="{00000000-0010-0000-0D00-000001000000}" name="PLANT C21" dataDxfId="158"/>
    <tableColumn id="2" xr3:uid="{00000000-0010-0000-0D00-000002000000}" name="Average  height (mm)" dataDxfId="157">
      <calculatedColumnFormula>AVERAGE(Tabla269162472[Height (mm)])</calculatedColumnFormula>
    </tableColumn>
    <tableColumn id="3" xr3:uid="{00000000-0010-0000-0D00-000003000000}" name="Average width (mm)" dataDxfId="156">
      <calculatedColumnFormula>AVERAGE(Tabla269162472[Width (mm)])</calculatedColumnFormula>
    </tableColumn>
    <tableColumn id="4" xr3:uid="{00000000-0010-0000-0D00-000004000000}" name="Total clusters number" dataDxfId="155">
      <calculatedColumnFormula>MAX(Tabla269162472[[Cluster number ]])</calculatedColumnFormula>
    </tableColumn>
    <tableColumn id="5" xr3:uid="{00000000-0010-0000-0D00-000005000000}" name="Tomato average weight per plant" dataDxfId="154">
      <calculatedColumnFormula>AVERAGE(Tabla269162472[Tomato average weight per cluster])</calculatedColumnFormula>
    </tableColumn>
    <tableColumn id="6" xr3:uid="{00000000-0010-0000-0D00-000006000000}" name="Total number of tomatoes " dataDxfId="153">
      <calculatedColumnFormula>COUNTA(Tabla269162472["C21" PLANT])</calculatedColumnFormula>
    </tableColumn>
    <tableColumn id="7" xr3:uid="{00000000-0010-0000-0D00-000007000000}" name="Total weight (g)" dataDxfId="152">
      <calculatedColumnFormula>SUM(Tabla269162472[Total cluster weight (g)])</calculatedColumnFormula>
    </tableColumn>
  </tableColumns>
  <tableStyleInfo name="TableStyleMedium2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E000000}" name="Tabla26914" displayName="Tabla26914" ref="A5:H56" totalsRowShown="0" dataDxfId="151">
  <autoFilter ref="A5:H56" xr:uid="{00000000-0009-0000-0100-000021000000}"/>
  <tableColumns count="8">
    <tableColumn id="1" xr3:uid="{00000000-0010-0000-0E00-000001000000}" name="&quot;L11&quot; PLANT" dataDxfId="150"/>
    <tableColumn id="2" xr3:uid="{00000000-0010-0000-0E00-000002000000}" name="Height (mm)" dataDxfId="149"/>
    <tableColumn id="3" xr3:uid="{00000000-0010-0000-0E00-000003000000}" name="Width (mm)" dataDxfId="148"/>
    <tableColumn id="4" xr3:uid="{00000000-0010-0000-0E00-000004000000}" name="Weight (g)" dataDxfId="147"/>
    <tableColumn id="5" xr3:uid="{00000000-0010-0000-0E00-000005000000}" name="Cluster number " dataDxfId="146"/>
    <tableColumn id="6" xr3:uid="{00000000-0010-0000-0E00-000006000000}" name="Color" dataDxfId="145"/>
    <tableColumn id="7" xr3:uid="{00000000-0010-0000-0E00-000007000000}" name="Total cluster weight (g)" dataDxfId="144"/>
    <tableColumn id="8" xr3:uid="{00000000-0010-0000-0E00-000008000000}" name="Tomato average weight per cluster" dataDxfId="143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F000000}" name="Tabla2691619" displayName="Tabla2691619" ref="A61:H120" totalsRowShown="0" dataDxfId="142">
  <autoFilter ref="A61:H120" xr:uid="{00000000-0009-0000-0100-000026000000}"/>
  <tableColumns count="8">
    <tableColumn id="1" xr3:uid="{00000000-0010-0000-0F00-000001000000}" name="&quot;L16&quot; PLANT" dataDxfId="141"/>
    <tableColumn id="2" xr3:uid="{00000000-0010-0000-0F00-000002000000}" name="Height (mm)" dataDxfId="140"/>
    <tableColumn id="3" xr3:uid="{00000000-0010-0000-0F00-000003000000}" name="Width (mm)" dataDxfId="139"/>
    <tableColumn id="4" xr3:uid="{00000000-0010-0000-0F00-000004000000}" name="Weight (g)" dataDxfId="138"/>
    <tableColumn id="5" xr3:uid="{00000000-0010-0000-0F00-000005000000}" name="Cluster number " dataDxfId="137"/>
    <tableColumn id="6" xr3:uid="{00000000-0010-0000-0F00-000006000000}" name="Color" dataDxfId="136"/>
    <tableColumn id="7" xr3:uid="{00000000-0010-0000-0F00-000007000000}" name="Total cluster weight (g)" dataDxfId="135"/>
    <tableColumn id="8" xr3:uid="{00000000-0010-0000-0F00-000008000000}" name="Tomato average weight per cluster" dataDxfId="134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0000000}" name="Tabla2691620" displayName="Tabla2691620" ref="A125:H186" totalsRowShown="0">
  <autoFilter ref="A125:H186" xr:uid="{00000000-0009-0000-0100-000027000000}"/>
  <tableColumns count="8">
    <tableColumn id="1" xr3:uid="{00000000-0010-0000-1000-000001000000}" name="&quot;L17&quot; PLANT" dataDxfId="133"/>
    <tableColumn id="2" xr3:uid="{00000000-0010-0000-1000-000002000000}" name="Height (mm)" dataDxfId="132"/>
    <tableColumn id="3" xr3:uid="{00000000-0010-0000-1000-000003000000}" name="Width (mm)" dataDxfId="131"/>
    <tableColumn id="4" xr3:uid="{00000000-0010-0000-1000-000004000000}" name="Weight (g)" dataDxfId="130"/>
    <tableColumn id="5" xr3:uid="{00000000-0010-0000-1000-000005000000}" name="Cluster number " dataDxfId="129"/>
    <tableColumn id="6" xr3:uid="{00000000-0010-0000-1000-000006000000}" name="Color" dataDxfId="128"/>
    <tableColumn id="7" xr3:uid="{00000000-0010-0000-1000-000007000000}" name="Total cluster weight (g)" dataDxfId="127"/>
    <tableColumn id="8" xr3:uid="{00000000-0010-0000-1000-000008000000}" name="Tomato average weight per cluster" dataDxfId="126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1000000}" name="Tabla2691623" displayName="Tabla2691623" ref="A191:H247" totalsRowShown="0" dataDxfId="125">
  <autoFilter ref="A191:H247" xr:uid="{00000000-0009-0000-0100-00002A000000}"/>
  <tableColumns count="8">
    <tableColumn id="1" xr3:uid="{00000000-0010-0000-1100-000001000000}" name="&quot;L20&quot; PLANT" dataDxfId="124"/>
    <tableColumn id="2" xr3:uid="{00000000-0010-0000-1100-000002000000}" name="Height (mm)" dataDxfId="123"/>
    <tableColumn id="3" xr3:uid="{00000000-0010-0000-1100-000003000000}" name="Width (mm)" dataDxfId="122"/>
    <tableColumn id="4" xr3:uid="{00000000-0010-0000-1100-000004000000}" name="Weight (g)" dataDxfId="121"/>
    <tableColumn id="5" xr3:uid="{00000000-0010-0000-1100-000005000000}" name="Cluster number " dataDxfId="120"/>
    <tableColumn id="6" xr3:uid="{00000000-0010-0000-1100-000006000000}" name="Color" dataDxfId="119"/>
    <tableColumn id="7" xr3:uid="{00000000-0010-0000-1100-000007000000}" name="Total cluster weight (g)" dataDxfId="118"/>
    <tableColumn id="8" xr3:uid="{00000000-0010-0000-1100-000008000000}" name="Tomato average weight per cluster" dataDxfId="117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2000000}" name="Tabla2691624" displayName="Tabla2691624" ref="A252:H305" totalsRowShown="0" dataDxfId="116">
  <autoFilter ref="A252:H305" xr:uid="{00000000-0009-0000-0100-00002B000000}"/>
  <tableColumns count="8">
    <tableColumn id="1" xr3:uid="{00000000-0010-0000-1200-000001000000}" name="&quot;L21&quot; PLANT" dataDxfId="115"/>
    <tableColumn id="2" xr3:uid="{00000000-0010-0000-1200-000002000000}" name="Height (mm)" dataDxfId="114"/>
    <tableColumn id="3" xr3:uid="{00000000-0010-0000-1200-000003000000}" name="Width (mm)" dataDxfId="113"/>
    <tableColumn id="4" xr3:uid="{00000000-0010-0000-1200-000004000000}" name="Weight (g)" dataDxfId="112"/>
    <tableColumn id="5" xr3:uid="{00000000-0010-0000-1200-000005000000}" name="Cluster number " dataDxfId="111"/>
    <tableColumn id="6" xr3:uid="{00000000-0010-0000-1200-000006000000}" name="Color" dataDxfId="110"/>
    <tableColumn id="7" xr3:uid="{00000000-0010-0000-1200-000007000000}" name="Total cluster weight (g)" dataDxfId="109"/>
    <tableColumn id="8" xr3:uid="{00000000-0010-0000-1200-000008000000}" name="Tomato average weight per cluster" dataDxfId="108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a269161765" displayName="Tabla269161765" ref="A65:H125" totalsRowShown="0">
  <autoFilter ref="A65:H125" xr:uid="{00000000-0009-0000-0100-00000E000000}"/>
  <tableColumns count="8">
    <tableColumn id="1" xr3:uid="{00000000-0010-0000-0100-000001000000}" name="&quot;C14&quot; PLANT" dataDxfId="283"/>
    <tableColumn id="2" xr3:uid="{00000000-0010-0000-0100-000002000000}" name="Height (mm)" dataDxfId="282"/>
    <tableColumn id="3" xr3:uid="{00000000-0010-0000-0100-000003000000}" name="Width (mm)" dataDxfId="281"/>
    <tableColumn id="4" xr3:uid="{00000000-0010-0000-0100-000004000000}" name="Weight (g)" dataDxfId="280"/>
    <tableColumn id="5" xr3:uid="{00000000-0010-0000-0100-000005000000}" name="Cluster number " dataDxfId="279"/>
    <tableColumn id="6" xr3:uid="{00000000-0010-0000-0100-000006000000}" name="Color" dataDxfId="278"/>
    <tableColumn id="7" xr3:uid="{00000000-0010-0000-0100-000007000000}" name="Total cluster weight (g)" dataDxfId="277"/>
    <tableColumn id="8" xr3:uid="{00000000-0010-0000-0100-000008000000}" name="Tomato average weight per cluster" dataDxfId="276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13000000}" name="Tabla70102112" displayName="Tabla70102112" ref="A58:G59" totalsRowShown="0" headerRowDxfId="107" dataDxfId="105" headerRowBorderDxfId="106" tableBorderDxfId="104" totalsRowBorderDxfId="103">
  <autoFilter ref="A58:G59" xr:uid="{00000000-0009-0000-0100-00006F000000}"/>
  <tableColumns count="7">
    <tableColumn id="1" xr3:uid="{00000000-0010-0000-1300-000001000000}" name="PLANT L11" dataDxfId="102"/>
    <tableColumn id="2" xr3:uid="{00000000-0010-0000-1300-000002000000}" name="Average  height (mm)" dataDxfId="101">
      <calculatedColumnFormula>AVERAGE(Tabla26914[Height (mm)])</calculatedColumnFormula>
    </tableColumn>
    <tableColumn id="3" xr3:uid="{00000000-0010-0000-1300-000003000000}" name="Average width (mm)" dataDxfId="100">
      <calculatedColumnFormula>AVERAGE(Tabla26914[Width (mm)])</calculatedColumnFormula>
    </tableColumn>
    <tableColumn id="4" xr3:uid="{00000000-0010-0000-1300-000004000000}" name="Total clusters number" dataDxfId="99">
      <calculatedColumnFormula>MAX(Tabla26914[[Cluster number ]])</calculatedColumnFormula>
    </tableColumn>
    <tableColumn id="5" xr3:uid="{00000000-0010-0000-1300-000005000000}" name="Tomato average weight per plant" dataDxfId="98">
      <calculatedColumnFormula>AVERAGE(Tabla26914[Tomato average weight per cluster])</calculatedColumnFormula>
    </tableColumn>
    <tableColumn id="6" xr3:uid="{00000000-0010-0000-1300-000006000000}" name="Total number of tomatoes " dataDxfId="97">
      <calculatedColumnFormula>COUNTA(Tabla26914["L11" PLANT])</calculatedColumnFormula>
    </tableColumn>
    <tableColumn id="7" xr3:uid="{00000000-0010-0000-1300-000007000000}" name="Total weight (g)" dataDxfId="96">
      <calculatedColumnFormula>SUM(Tabla26914[Total cluster weight (g)])</calculatedColumnFormula>
    </tableColumn>
  </tableColumns>
  <tableStyleInfo name="TableStyleMedium2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14000000}" name="Tabla70102113114115117" displayName="Tabla70102113114115117" ref="A122:G123" totalsRowShown="0" headerRowDxfId="95" dataDxfId="93" headerRowBorderDxfId="94" tableBorderDxfId="92" totalsRowBorderDxfId="91">
  <autoFilter ref="A122:G123" xr:uid="{00000000-0009-0000-0100-000074000000}"/>
  <tableColumns count="7">
    <tableColumn id="1" xr3:uid="{00000000-0010-0000-1400-000001000000}" name="PLANT L16" dataDxfId="90"/>
    <tableColumn id="2" xr3:uid="{00000000-0010-0000-1400-000002000000}" name="Average  height (mm)" dataDxfId="89">
      <calculatedColumnFormula>AVERAGE(Tabla2691619[Height (mm)])</calculatedColumnFormula>
    </tableColumn>
    <tableColumn id="3" xr3:uid="{00000000-0010-0000-1400-000003000000}" name="Average width (mm)" dataDxfId="88">
      <calculatedColumnFormula>AVERAGE(Tabla2691619[Width (mm)])</calculatedColumnFormula>
    </tableColumn>
    <tableColumn id="4" xr3:uid="{00000000-0010-0000-1400-000004000000}" name="Total clusters number" dataDxfId="87">
      <calculatedColumnFormula>MAX(Tabla2691619[[Cluster number ]])</calculatedColumnFormula>
    </tableColumn>
    <tableColumn id="5" xr3:uid="{00000000-0010-0000-1400-000005000000}" name="Tomato average weight per plant" dataDxfId="86">
      <calculatedColumnFormula>AVERAGE(Tabla2691619[Tomato average weight per cluster])</calculatedColumnFormula>
    </tableColumn>
    <tableColumn id="6" xr3:uid="{00000000-0010-0000-1400-000006000000}" name="Total number of tomatoes " dataDxfId="85">
      <calculatedColumnFormula>COUNTA(Tabla2691619["L16" PLANT])</calculatedColumnFormula>
    </tableColumn>
    <tableColumn id="7" xr3:uid="{00000000-0010-0000-1400-000007000000}" name="Total weight (g)" dataDxfId="84">
      <calculatedColumnFormula>SUM(Tabla2691619[Total cluster weight (g)])</calculatedColumnFormula>
    </tableColumn>
  </tableColumns>
  <tableStyleInfo name="TableStyleMedium2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15000000}" name="Tabla70102113114115118" displayName="Tabla70102113114115118" ref="A188:G189" totalsRowShown="0" headerRowDxfId="83" dataDxfId="81" headerRowBorderDxfId="82" tableBorderDxfId="80" totalsRowBorderDxfId="79">
  <autoFilter ref="A188:G189" xr:uid="{00000000-0009-0000-0100-000075000000}"/>
  <tableColumns count="7">
    <tableColumn id="1" xr3:uid="{00000000-0010-0000-1500-000001000000}" name="PLANT L17" dataDxfId="78"/>
    <tableColumn id="2" xr3:uid="{00000000-0010-0000-1500-000002000000}" name="Average  height (mm)" dataDxfId="77">
      <calculatedColumnFormula>AVERAGE(Tabla2691620[Height (mm)])</calculatedColumnFormula>
    </tableColumn>
    <tableColumn id="3" xr3:uid="{00000000-0010-0000-1500-000003000000}" name="Average width (mm)" dataDxfId="76">
      <calculatedColumnFormula>AVERAGE(Tabla2691620[Width (mm)])</calculatedColumnFormula>
    </tableColumn>
    <tableColumn id="4" xr3:uid="{00000000-0010-0000-1500-000004000000}" name="Total clusters number" dataDxfId="75">
      <calculatedColumnFormula>MAX(Tabla2691620[[Cluster number ]])</calculatedColumnFormula>
    </tableColumn>
    <tableColumn id="5" xr3:uid="{00000000-0010-0000-1500-000005000000}" name="Tomato average weight per plant" dataDxfId="74">
      <calculatedColumnFormula>AVERAGE(Tabla2691620[Tomato average weight per cluster])</calculatedColumnFormula>
    </tableColumn>
    <tableColumn id="6" xr3:uid="{00000000-0010-0000-1500-000006000000}" name="Total number of tomatoes " dataDxfId="73">
      <calculatedColumnFormula>COUNTA(Tabla2691620["L17" PLANT])</calculatedColumnFormula>
    </tableColumn>
    <tableColumn id="7" xr3:uid="{00000000-0010-0000-1500-000007000000}" name="Total weight (g)" dataDxfId="72">
      <calculatedColumnFormula>SUM(Tabla2691620[Total cluster weight (g)])</calculatedColumnFormula>
    </tableColumn>
  </tableColumns>
  <tableStyleInfo name="TableStyleMedium2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16000000}" name="Tabla70102113114115121" displayName="Tabla70102113114115121" ref="A249:G250" totalsRowShown="0" headerRowDxfId="71" dataDxfId="69" headerRowBorderDxfId="70" tableBorderDxfId="68" totalsRowBorderDxfId="67">
  <autoFilter ref="A249:G250" xr:uid="{00000000-0009-0000-0100-000078000000}"/>
  <tableColumns count="7">
    <tableColumn id="1" xr3:uid="{00000000-0010-0000-1600-000001000000}" name="PLANT L20" dataDxfId="66"/>
    <tableColumn id="2" xr3:uid="{00000000-0010-0000-1600-000002000000}" name="Average  height (mm)" dataDxfId="65">
      <calculatedColumnFormula>AVERAGE(Tabla2691623[Height (mm)])</calculatedColumnFormula>
    </tableColumn>
    <tableColumn id="3" xr3:uid="{00000000-0010-0000-1600-000003000000}" name="Average width (mm)" dataDxfId="64">
      <calculatedColumnFormula>AVERAGE(Tabla2691623[Width (mm)])</calculatedColumnFormula>
    </tableColumn>
    <tableColumn id="4" xr3:uid="{00000000-0010-0000-1600-000004000000}" name="Total clusters number" dataDxfId="63">
      <calculatedColumnFormula>MAX(Tabla2691623[[Cluster number ]])</calculatedColumnFormula>
    </tableColumn>
    <tableColumn id="5" xr3:uid="{00000000-0010-0000-1600-000005000000}" name="Tomato average weight per plant" dataDxfId="62">
      <calculatedColumnFormula>AVERAGE(Tabla2691623[Tomato average weight per cluster])</calculatedColumnFormula>
    </tableColumn>
    <tableColumn id="6" xr3:uid="{00000000-0010-0000-1600-000006000000}" name="Total number of tomatoes " dataDxfId="61">
      <calculatedColumnFormula>COUNTA(Tabla2691623["L20" PLANT])</calculatedColumnFormula>
    </tableColumn>
    <tableColumn id="7" xr3:uid="{00000000-0010-0000-1600-000007000000}" name="Total weight (g)" dataDxfId="60">
      <calculatedColumnFormula>SUM(Tabla2691623[Total cluster weight (g)])</calculatedColumnFormula>
    </tableColumn>
  </tableColumns>
  <tableStyleInfo name="TableStyleMedium2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17000000}" name="Tabla70102113114115122" displayName="Tabla70102113114115122" ref="A307:G308" totalsRowShown="0" headerRowDxfId="59" dataDxfId="57" headerRowBorderDxfId="58" tableBorderDxfId="56" totalsRowBorderDxfId="55">
  <autoFilter ref="A307:G308" xr:uid="{00000000-0009-0000-0100-000079000000}"/>
  <tableColumns count="7">
    <tableColumn id="1" xr3:uid="{00000000-0010-0000-1700-000001000000}" name="PLANT L21" dataDxfId="54"/>
    <tableColumn id="2" xr3:uid="{00000000-0010-0000-1700-000002000000}" name="Average  height (mm)" dataDxfId="53">
      <calculatedColumnFormula>AVERAGE(Tabla2691624[Height (mm)])</calculatedColumnFormula>
    </tableColumn>
    <tableColumn id="3" xr3:uid="{00000000-0010-0000-1700-000003000000}" name="Average width (mm)" dataDxfId="52">
      <calculatedColumnFormula>AVERAGE(Tabla2691624[Width (mm)])</calculatedColumnFormula>
    </tableColumn>
    <tableColumn id="4" xr3:uid="{00000000-0010-0000-1700-000004000000}" name="Total clusters number" dataDxfId="51">
      <calculatedColumnFormula>MAX(Tabla2691624[[Cluster number ]])</calculatedColumnFormula>
    </tableColumn>
    <tableColumn id="5" xr3:uid="{00000000-0010-0000-1700-000005000000}" name="Tomato average weight per plant" dataDxfId="50">
      <calculatedColumnFormula>AVERAGE(Tabla2691624[Tomato average weight per cluster])</calculatedColumnFormula>
    </tableColumn>
    <tableColumn id="6" xr3:uid="{00000000-0010-0000-1700-000006000000}" name="Total number of tomatoes " dataDxfId="49">
      <calculatedColumnFormula>COUNTA(Tabla2691624["L21" PLANT])</calculatedColumnFormula>
    </tableColumn>
    <tableColumn id="7" xr3:uid="{00000000-0010-0000-1700-000007000000}" name="Total weight (g)" dataDxfId="48">
      <calculatedColumnFormula>SUM(Tabla2691624[Total cluster weight (g)])</calculatedColumnFormula>
    </tableColumn>
  </tableColumns>
  <tableStyleInfo name="TableStyleMedium2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18000000}" name="Tabla7010211311411512475" displayName="Tabla7010211311411512475" ref="A364:G365" totalsRowShown="0" headerRowDxfId="47" dataDxfId="45" headerRowBorderDxfId="46" tableBorderDxfId="44" totalsRowBorderDxfId="43">
  <autoFilter ref="A364:G365" xr:uid="{00000000-0009-0000-0100-00004A000000}"/>
  <tableColumns count="7">
    <tableColumn id="1" xr3:uid="{00000000-0010-0000-1800-000001000000}" name="PLANT L24" dataDxfId="42"/>
    <tableColumn id="2" xr3:uid="{00000000-0010-0000-1800-000002000000}" name="Average  height (mm)" dataDxfId="41">
      <calculatedColumnFormula>AVERAGE(Tabla140[Height (mm)])</calculatedColumnFormula>
    </tableColumn>
    <tableColumn id="3" xr3:uid="{00000000-0010-0000-1800-000003000000}" name="Average width (mm)" dataDxfId="40">
      <calculatedColumnFormula>AVERAGE(Tabla140[Width (mm)])</calculatedColumnFormula>
    </tableColumn>
    <tableColumn id="4" xr3:uid="{00000000-0010-0000-1800-000004000000}" name="Total clusters number" dataDxfId="39">
      <calculatedColumnFormula>MAX(Tabla140[Cluster number *])</calculatedColumnFormula>
    </tableColumn>
    <tableColumn id="5" xr3:uid="{00000000-0010-0000-1800-000005000000}" name="Tomato average weight per plant" dataDxfId="38">
      <calculatedColumnFormula>AVERAGE(Tabla140[Tomato average weight per cluster])</calculatedColumnFormula>
    </tableColumn>
    <tableColumn id="6" xr3:uid="{00000000-0010-0000-1800-000006000000}" name="Total number of tomatoes " dataDxfId="37">
      <calculatedColumnFormula>COUNTA(Tabla140["L24" PLANT])</calculatedColumnFormula>
    </tableColumn>
    <tableColumn id="7" xr3:uid="{00000000-0010-0000-1800-000007000000}" name="Total weight (g)" dataDxfId="36">
      <calculatedColumnFormula>SUM(Tabla140[Total cluster weight (g)])</calculatedColumnFormula>
    </tableColumn>
  </tableColumns>
  <tableStyleInfo name="TableStyleMedium2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00000000-000C-0000-FFFF-FFFF19000000}" name="Tabla140" displayName="Tabla140" ref="A310:H362" totalsRowShown="0" headerRowDxfId="35" dataDxfId="33" headerRowBorderDxfId="34" tableBorderDxfId="32">
  <autoFilter ref="A310:H362" xr:uid="{00000000-0009-0000-0100-00008C000000}"/>
  <tableColumns count="8">
    <tableColumn id="1" xr3:uid="{00000000-0010-0000-1900-000001000000}" name="&quot;L24&quot; PLANT" dataDxfId="31"/>
    <tableColumn id="2" xr3:uid="{00000000-0010-0000-1900-000002000000}" name="Height (mm)" dataDxfId="30"/>
    <tableColumn id="3" xr3:uid="{00000000-0010-0000-1900-000003000000}" name="Width (mm)" dataDxfId="29"/>
    <tableColumn id="4" xr3:uid="{00000000-0010-0000-1900-000004000000}" name="Weight (g)" dataDxfId="28"/>
    <tableColumn id="5" xr3:uid="{00000000-0010-0000-1900-000005000000}" name="Cluster number *" dataDxfId="27"/>
    <tableColumn id="6" xr3:uid="{00000000-0010-0000-1900-000006000000}" name="Color" dataDxfId="26"/>
    <tableColumn id="7" xr3:uid="{00000000-0010-0000-1900-000007000000}" name="Total cluster weight (g)" dataDxfId="25"/>
    <tableColumn id="8" xr3:uid="{00000000-0010-0000-1900-000008000000}" name="Tomato average weight per cluster" dataDxfId="24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00000000-000C-0000-FFFF-FFFF1A000000}" name="Tabla144" displayName="Tabla144" ref="A367:H429" totalsRowShown="0" headerRowDxfId="23" dataDxfId="21" headerRowBorderDxfId="22" tableBorderDxfId="20">
  <autoFilter ref="A367:H429" xr:uid="{00000000-0009-0000-0100-000090000000}"/>
  <tableColumns count="8">
    <tableColumn id="1" xr3:uid="{00000000-0010-0000-1A00-000001000000}" name="&quot;L25&quot; PLANT" dataDxfId="19"/>
    <tableColumn id="2" xr3:uid="{00000000-0010-0000-1A00-000002000000}" name="Height (mm)" dataDxfId="18"/>
    <tableColumn id="3" xr3:uid="{00000000-0010-0000-1A00-000003000000}" name="Width (mm)" dataDxfId="17"/>
    <tableColumn id="4" xr3:uid="{00000000-0010-0000-1A00-000004000000}" name="Weight (g)" dataDxfId="16"/>
    <tableColumn id="5" xr3:uid="{00000000-0010-0000-1A00-000005000000}" name="Cluster number *" dataDxfId="15"/>
    <tableColumn id="6" xr3:uid="{00000000-0010-0000-1A00-000006000000}" name="Color" dataDxfId="14"/>
    <tableColumn id="7" xr3:uid="{00000000-0010-0000-1A00-000007000000}" name="Total cluster weight (g)" dataDxfId="13"/>
    <tableColumn id="8" xr3:uid="{00000000-0010-0000-1A00-000008000000}" name="Tomato average weight per cluster" dataDxfId="12">
      <calculatedColumnFormula>Tabla144[[#This Row],[Total cluster weight (g)]]/COUNTA(Tabla144["L25" PLANT])</calculatedColumnFormula>
    </tableColumn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0000000-000C-0000-FFFF-FFFF1B000000}" name="Tabla7010211311411512475148" displayName="Tabla7010211311411512475148" ref="A431:G432" totalsRowShown="0" headerRowDxfId="11" dataDxfId="9" headerRowBorderDxfId="10" tableBorderDxfId="8" totalsRowBorderDxfId="7">
  <autoFilter ref="A431:G432" xr:uid="{00000000-0009-0000-0100-000093000000}"/>
  <tableColumns count="7">
    <tableColumn id="1" xr3:uid="{00000000-0010-0000-1B00-000001000000}" name="PLANT L25" dataDxfId="6"/>
    <tableColumn id="2" xr3:uid="{00000000-0010-0000-1B00-000002000000}" name="Average  height (mm)" dataDxfId="5">
      <calculatedColumnFormula>AVERAGE(Tabla144[Height (mm)])</calculatedColumnFormula>
    </tableColumn>
    <tableColumn id="3" xr3:uid="{00000000-0010-0000-1B00-000003000000}" name="Average width (mm)" dataDxfId="4">
      <calculatedColumnFormula>AVERAGE(Tabla144[Width (mm)])</calculatedColumnFormula>
    </tableColumn>
    <tableColumn id="4" xr3:uid="{00000000-0010-0000-1B00-000004000000}" name="Total clusters number" dataDxfId="3">
      <calculatedColumnFormula>MAX(Tabla144[Cluster number *])</calculatedColumnFormula>
    </tableColumn>
    <tableColumn id="5" xr3:uid="{00000000-0010-0000-1B00-000005000000}" name="Tomato average weight per plant" dataDxfId="2">
      <calculatedColumnFormula>AVERAGE(Tabla144[Tomato average weight per cluster])</calculatedColumnFormula>
    </tableColumn>
    <tableColumn id="6" xr3:uid="{00000000-0010-0000-1B00-000006000000}" name="Total number of tomatoes " dataDxfId="1">
      <calculatedColumnFormula>COUNTA(Tabla144["L25" PLANT])</calculatedColumnFormula>
    </tableColumn>
    <tableColumn id="7" xr3:uid="{00000000-0010-0000-1B00-000007000000}" name="Total weight (g)" dataDxfId="0">
      <calculatedColumnFormula>SUM(Tabla144[Total cluster weight (g)])</calculatedColumnFormula>
    </tableColumn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Tabla269161866" displayName="Tabla269161866" ref="A130:H189" totalsRowShown="0">
  <autoFilter ref="A130:H189" xr:uid="{00000000-0009-0000-0100-00000F000000}"/>
  <tableColumns count="8">
    <tableColumn id="1" xr3:uid="{00000000-0010-0000-0200-000001000000}" name="&quot;C15&quot; PLANT" dataDxfId="275"/>
    <tableColumn id="2" xr3:uid="{00000000-0010-0000-0200-000002000000}" name="Height (mm)" dataDxfId="274"/>
    <tableColumn id="3" xr3:uid="{00000000-0010-0000-0200-000003000000}" name="Width (mm)" dataDxfId="273"/>
    <tableColumn id="4" xr3:uid="{00000000-0010-0000-0200-000004000000}" name="Weight (g)" dataDxfId="272"/>
    <tableColumn id="5" xr3:uid="{00000000-0010-0000-0200-000005000000}" name="Cluster number " dataDxfId="271"/>
    <tableColumn id="6" xr3:uid="{00000000-0010-0000-0200-000006000000}" name="Color" dataDxfId="270"/>
    <tableColumn id="7" xr3:uid="{00000000-0010-0000-0200-000007000000}" name="Total cluster weight (g)" dataDxfId="269"/>
    <tableColumn id="8" xr3:uid="{00000000-0010-0000-0200-000008000000}" name="Tomato average weight per cluster" dataDxfId="268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Tabla269161967" displayName="Tabla269161967" ref="A194:H248" totalsRowShown="0">
  <autoFilter ref="A194:H248" xr:uid="{00000000-0009-0000-0100-000010000000}"/>
  <tableColumns count="8">
    <tableColumn id="1" xr3:uid="{00000000-0010-0000-0300-000001000000}" name="&quot;C16&quot; PLANT" dataDxfId="267"/>
    <tableColumn id="2" xr3:uid="{00000000-0010-0000-0300-000002000000}" name="Height (mm)" dataDxfId="266"/>
    <tableColumn id="3" xr3:uid="{00000000-0010-0000-0300-000003000000}" name="Width (mm)" dataDxfId="265"/>
    <tableColumn id="4" xr3:uid="{00000000-0010-0000-0300-000004000000}" name="Weight (g)" dataDxfId="264"/>
    <tableColumn id="5" xr3:uid="{00000000-0010-0000-0300-000005000000}" name="Cluster number " dataDxfId="263"/>
    <tableColumn id="6" xr3:uid="{00000000-0010-0000-0300-000006000000}" name="Color" dataDxfId="262"/>
    <tableColumn id="7" xr3:uid="{00000000-0010-0000-0300-000007000000}" name="Total cluster weight (g)" dataDxfId="261"/>
    <tableColumn id="8" xr3:uid="{00000000-0010-0000-0300-000008000000}" name="Tomato average weight per cluster" dataDxfId="26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a269162068" displayName="Tabla269162068" ref="A253:H307" totalsRowShown="0">
  <autoFilter ref="A253:H307" xr:uid="{00000000-0009-0000-0100-000011000000}"/>
  <tableColumns count="8">
    <tableColumn id="1" xr3:uid="{00000000-0010-0000-0400-000001000000}" name="&quot;C17&quot; PLANT" dataDxfId="259"/>
    <tableColumn id="2" xr3:uid="{00000000-0010-0000-0400-000002000000}" name="Height (mm)" dataDxfId="258"/>
    <tableColumn id="3" xr3:uid="{00000000-0010-0000-0400-000003000000}" name="Width (mm)" dataDxfId="257"/>
    <tableColumn id="4" xr3:uid="{00000000-0010-0000-0400-000004000000}" name="Weight (g)" dataDxfId="256"/>
    <tableColumn id="5" xr3:uid="{00000000-0010-0000-0400-000005000000}" name="Cluster number " dataDxfId="255"/>
    <tableColumn id="6" xr3:uid="{00000000-0010-0000-0400-000006000000}" name="Color" dataDxfId="254"/>
    <tableColumn id="7" xr3:uid="{00000000-0010-0000-0400-000007000000}" name="Total cluster weight (g)" dataDxfId="253"/>
    <tableColumn id="8" xr3:uid="{00000000-0010-0000-0400-000008000000}" name="Tomato average weight per cluster" dataDxfId="252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5000000}" name="Tabla269162371" displayName="Tabla269162371" ref="A312:H375" totalsRowShown="0">
  <autoFilter ref="A312:H375" xr:uid="{00000000-0009-0000-0100-000014000000}"/>
  <tableColumns count="8">
    <tableColumn id="1" xr3:uid="{00000000-0010-0000-0500-000001000000}" name="&quot;C20&quot; PLANT" dataDxfId="251"/>
    <tableColumn id="2" xr3:uid="{00000000-0010-0000-0500-000002000000}" name="Height (mm)" dataDxfId="250"/>
    <tableColumn id="3" xr3:uid="{00000000-0010-0000-0500-000003000000}" name="Width (mm)" dataDxfId="249"/>
    <tableColumn id="4" xr3:uid="{00000000-0010-0000-0500-000004000000}" name="Weight (g)" dataDxfId="248"/>
    <tableColumn id="5" xr3:uid="{00000000-0010-0000-0500-000005000000}" name="Cluster number " dataDxfId="247"/>
    <tableColumn id="6" xr3:uid="{00000000-0010-0000-0500-000006000000}" name="Color" dataDxfId="246"/>
    <tableColumn id="7" xr3:uid="{00000000-0010-0000-0500-000007000000}" name="Total cluster weight (g)" dataDxfId="245"/>
    <tableColumn id="8" xr3:uid="{00000000-0010-0000-0500-000008000000}" name="Tomato average weight per cluster" dataDxfId="244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6000000}" name="Tabla269162472" displayName="Tabla269162472" ref="A380:H436" totalsRowShown="0">
  <autoFilter ref="A380:H436" xr:uid="{00000000-0009-0000-0100-000015000000}"/>
  <tableColumns count="8">
    <tableColumn id="1" xr3:uid="{00000000-0010-0000-0600-000001000000}" name="&quot;C21&quot; PLANT" dataDxfId="243"/>
    <tableColumn id="2" xr3:uid="{00000000-0010-0000-0600-000002000000}" name="Height (mm)" dataDxfId="242"/>
    <tableColumn id="3" xr3:uid="{00000000-0010-0000-0600-000003000000}" name="Width (mm)" dataDxfId="241"/>
    <tableColumn id="4" xr3:uid="{00000000-0010-0000-0600-000004000000}" name="Weight (g)" dataDxfId="240"/>
    <tableColumn id="5" xr3:uid="{00000000-0010-0000-0600-000005000000}" name="Cluster number " dataDxfId="239"/>
    <tableColumn id="6" xr3:uid="{00000000-0010-0000-0600-000006000000}" name="Color" dataDxfId="238"/>
    <tableColumn id="7" xr3:uid="{00000000-0010-0000-0600-000007000000}" name="Total cluster weight (g)" dataDxfId="237"/>
    <tableColumn id="8" xr3:uid="{00000000-0010-0000-0600-000008000000}" name="Tomato average weight per cluster" dataDxfId="236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7000000}" name="Tabla7083" displayName="Tabla7083" ref="A62:G63" totalsRowShown="0" headerRowDxfId="235" dataDxfId="233" headerRowBorderDxfId="234" tableBorderDxfId="232" totalsRowBorderDxfId="231">
  <autoFilter ref="A62:G63" xr:uid="{00000000-0009-0000-0100-000052000000}"/>
  <tableColumns count="7">
    <tableColumn id="1" xr3:uid="{00000000-0010-0000-0700-000001000000}" name="PLANT C11" dataDxfId="230"/>
    <tableColumn id="2" xr3:uid="{00000000-0010-0000-0700-000002000000}" name="Average  height (mm)" dataDxfId="229">
      <calculatedColumnFormula>AVERAGE(Tabla2691462[Height (mm)])</calculatedColumnFormula>
    </tableColumn>
    <tableColumn id="3" xr3:uid="{00000000-0010-0000-0700-000003000000}" name="Average width (mm)" dataDxfId="228">
      <calculatedColumnFormula>AVERAGE(Tabla2691462[Width (mm)])</calculatedColumnFormula>
    </tableColumn>
    <tableColumn id="4" xr3:uid="{00000000-0010-0000-0700-000004000000}" name="Total clusters number" dataDxfId="227">
      <calculatedColumnFormula>MAX(Tabla2691462[[Cluster number ]])</calculatedColumnFormula>
    </tableColumn>
    <tableColumn id="5" xr3:uid="{00000000-0010-0000-0700-000005000000}" name="Tomato average weight per plant" dataDxfId="226">
      <calculatedColumnFormula>AVERAGE(Tabla2691462[Tomato average weight per cluster])</calculatedColumnFormula>
    </tableColumn>
    <tableColumn id="6" xr3:uid="{00000000-0010-0000-0700-000006000000}" name="Total number of tomatoes " dataDxfId="225">
      <calculatedColumnFormula>COUNTA(Tabla2691462["C11" PLANT])</calculatedColumnFormula>
    </tableColumn>
    <tableColumn id="7" xr3:uid="{00000000-0010-0000-0700-000007000000}" name="Total weight (g)" dataDxfId="224">
      <calculatedColumnFormula>SUM(Tabla2691462[Total cluster weight (g)])</calculatedColumnFormula>
    </tableColumn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08000000}" name="Tabla7087" displayName="Tabla7087" ref="A127:G128" totalsRowShown="0" headerRowDxfId="223" dataDxfId="221" headerRowBorderDxfId="222" tableBorderDxfId="220" totalsRowBorderDxfId="219">
  <autoFilter ref="A127:G128" xr:uid="{00000000-0009-0000-0100-000056000000}"/>
  <tableColumns count="7">
    <tableColumn id="1" xr3:uid="{00000000-0010-0000-0800-000001000000}" name="PLANT C14" dataDxfId="218"/>
    <tableColumn id="2" xr3:uid="{00000000-0010-0000-0800-000002000000}" name="Average  height (mm)" dataDxfId="217">
      <calculatedColumnFormula>AVERAGE(Tabla269161765[Height (mm)])</calculatedColumnFormula>
    </tableColumn>
    <tableColumn id="3" xr3:uid="{00000000-0010-0000-0800-000003000000}" name="Average width (mm)" dataDxfId="216">
      <calculatedColumnFormula>AVERAGE(Tabla269161765[Width (mm)])</calculatedColumnFormula>
    </tableColumn>
    <tableColumn id="4" xr3:uid="{00000000-0010-0000-0800-000004000000}" name="Total clusters number" dataDxfId="215">
      <calculatedColumnFormula>MAX(Tabla269161765[[Cluster number ]])</calculatedColumnFormula>
    </tableColumn>
    <tableColumn id="5" xr3:uid="{00000000-0010-0000-0800-000005000000}" name="Tomato average weight per plant" dataDxfId="214">
      <calculatedColumnFormula>AVERAGE(Tabla269161765[Tomato average weight per cluster])</calculatedColumnFormula>
    </tableColumn>
    <tableColumn id="6" xr3:uid="{00000000-0010-0000-0800-000006000000}" name="Total number of tomatoes " dataDxfId="213">
      <calculatedColumnFormula>COUNTA(Tabla269161765["C14" PLANT])</calculatedColumnFormula>
    </tableColumn>
    <tableColumn id="7" xr3:uid="{00000000-0010-0000-0800-000007000000}" name="Total weight (g)" dataDxfId="212">
      <calculatedColumnFormula>SUM(Tabla269161765[Total cluster weight (g)])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13" Type="http://schemas.openxmlformats.org/officeDocument/2006/relationships/table" Target="../tables/table27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12" Type="http://schemas.openxmlformats.org/officeDocument/2006/relationships/table" Target="../tables/table26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6" Type="http://schemas.openxmlformats.org/officeDocument/2006/relationships/table" Target="../tables/table20.xml"/><Relationship Id="rId11" Type="http://schemas.openxmlformats.org/officeDocument/2006/relationships/table" Target="../tables/table25.xml"/><Relationship Id="rId5" Type="http://schemas.openxmlformats.org/officeDocument/2006/relationships/table" Target="../tables/table19.xml"/><Relationship Id="rId10" Type="http://schemas.openxmlformats.org/officeDocument/2006/relationships/table" Target="../tables/table24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Relationship Id="rId14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9"/>
  <sheetViews>
    <sheetView tabSelected="1" zoomScale="80" zoomScaleNormal="80" workbookViewId="0">
      <selection activeCell="I1" sqref="I1:I1048576"/>
    </sheetView>
  </sheetViews>
  <sheetFormatPr defaultColWidth="9.15625" defaultRowHeight="14.4" x14ac:dyDescent="0.55000000000000004"/>
  <cols>
    <col min="1" max="1" width="21" customWidth="1"/>
    <col min="2" max="2" width="23" customWidth="1"/>
    <col min="3" max="3" width="21.578125" customWidth="1"/>
    <col min="4" max="4" width="23.41796875" customWidth="1"/>
    <col min="5" max="5" width="33.41796875" customWidth="1"/>
    <col min="6" max="6" width="28.26171875" customWidth="1"/>
    <col min="7" max="7" width="30.578125" customWidth="1"/>
    <col min="8" max="8" width="31.83984375" customWidth="1"/>
    <col min="9" max="9" width="20.68359375" customWidth="1"/>
  </cols>
  <sheetData>
    <row r="1" spans="1:8" ht="25.8" x14ac:dyDescent="0.95">
      <c r="A1" s="1" t="s">
        <v>0</v>
      </c>
    </row>
    <row r="3" spans="1:8" ht="18.3" x14ac:dyDescent="0.7">
      <c r="A3" s="44" t="s">
        <v>1</v>
      </c>
      <c r="B3" s="43"/>
    </row>
    <row r="6" spans="1:8" x14ac:dyDescent="0.55000000000000004">
      <c r="A6" s="3" t="s">
        <v>8</v>
      </c>
      <c r="B6" t="s">
        <v>2</v>
      </c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43</v>
      </c>
    </row>
    <row r="7" spans="1:8" x14ac:dyDescent="0.55000000000000004">
      <c r="A7" s="22" t="s">
        <v>70</v>
      </c>
      <c r="B7" s="10">
        <v>50</v>
      </c>
      <c r="C7" s="10">
        <v>59</v>
      </c>
      <c r="D7" s="18" t="s">
        <v>17</v>
      </c>
      <c r="E7" s="10">
        <v>1</v>
      </c>
      <c r="F7" s="10" t="s">
        <v>15</v>
      </c>
      <c r="G7" s="10"/>
      <c r="H7" s="54"/>
    </row>
    <row r="8" spans="1:8" x14ac:dyDescent="0.55000000000000004">
      <c r="A8" s="8" t="s">
        <v>71</v>
      </c>
      <c r="B8" s="7">
        <v>50</v>
      </c>
      <c r="C8" s="7">
        <v>56</v>
      </c>
      <c r="D8" s="14" t="s">
        <v>17</v>
      </c>
      <c r="E8" s="10">
        <v>1</v>
      </c>
      <c r="F8" s="7" t="s">
        <v>16</v>
      </c>
      <c r="G8" s="7"/>
      <c r="H8" s="50"/>
    </row>
    <row r="9" spans="1:8" x14ac:dyDescent="0.55000000000000004">
      <c r="A9" s="8" t="s">
        <v>73</v>
      </c>
      <c r="B9" s="7">
        <v>52</v>
      </c>
      <c r="C9" s="7">
        <v>63</v>
      </c>
      <c r="D9" s="14" t="s">
        <v>17</v>
      </c>
      <c r="E9" s="10">
        <v>1</v>
      </c>
      <c r="F9" s="7" t="s">
        <v>16</v>
      </c>
      <c r="G9" s="7"/>
      <c r="H9" s="50"/>
    </row>
    <row r="10" spans="1:8" x14ac:dyDescent="0.55000000000000004">
      <c r="A10" s="8" t="s">
        <v>74</v>
      </c>
      <c r="B10" s="7">
        <v>53</v>
      </c>
      <c r="C10" s="7">
        <v>66</v>
      </c>
      <c r="D10" s="14" t="s">
        <v>17</v>
      </c>
      <c r="E10" s="10">
        <v>1</v>
      </c>
      <c r="F10" s="7" t="s">
        <v>16</v>
      </c>
      <c r="G10" s="7"/>
      <c r="H10" s="50"/>
    </row>
    <row r="11" spans="1:8" ht="14.7" thickBot="1" x14ac:dyDescent="0.6">
      <c r="A11" s="23" t="s">
        <v>75</v>
      </c>
      <c r="B11" s="12">
        <v>56</v>
      </c>
      <c r="C11" s="12">
        <v>62</v>
      </c>
      <c r="D11" s="16" t="s">
        <v>17</v>
      </c>
      <c r="E11" s="10">
        <v>1</v>
      </c>
      <c r="F11" s="12" t="s">
        <v>16</v>
      </c>
      <c r="G11" s="12">
        <v>538.5</v>
      </c>
      <c r="H11" s="58">
        <f>Tabla2691462[[#This Row],[Total cluster weight (g)]]/COUNTA(A7:A11)</f>
        <v>107.7</v>
      </c>
    </row>
    <row r="12" spans="1:8" x14ac:dyDescent="0.55000000000000004">
      <c r="A12" s="4" t="s">
        <v>76</v>
      </c>
      <c r="B12" s="5">
        <v>54</v>
      </c>
      <c r="C12" s="5">
        <v>65</v>
      </c>
      <c r="D12" s="67" t="s">
        <v>17</v>
      </c>
      <c r="E12" s="7">
        <v>2</v>
      </c>
      <c r="F12" s="13" t="s">
        <v>15</v>
      </c>
      <c r="G12" s="7"/>
      <c r="H12" s="85"/>
    </row>
    <row r="13" spans="1:8" x14ac:dyDescent="0.55000000000000004">
      <c r="A13" s="6" t="s">
        <v>77</v>
      </c>
      <c r="B13" s="7">
        <v>55</v>
      </c>
      <c r="C13" s="7">
        <v>70</v>
      </c>
      <c r="D13" s="67" t="s">
        <v>17</v>
      </c>
      <c r="E13" s="7">
        <v>2</v>
      </c>
      <c r="F13" s="7" t="s">
        <v>15</v>
      </c>
      <c r="G13" s="7"/>
      <c r="H13" s="85"/>
    </row>
    <row r="14" spans="1:8" x14ac:dyDescent="0.55000000000000004">
      <c r="A14" s="8" t="s">
        <v>83</v>
      </c>
      <c r="B14" s="7">
        <v>56</v>
      </c>
      <c r="C14" s="7">
        <v>66</v>
      </c>
      <c r="D14" s="67" t="s">
        <v>17</v>
      </c>
      <c r="E14" s="7">
        <v>2</v>
      </c>
      <c r="F14" s="7" t="s">
        <v>16</v>
      </c>
      <c r="G14" s="7"/>
      <c r="H14" s="85"/>
    </row>
    <row r="15" spans="1:8" x14ac:dyDescent="0.55000000000000004">
      <c r="A15" s="9" t="s">
        <v>84</v>
      </c>
      <c r="B15" s="10">
        <v>56</v>
      </c>
      <c r="C15" s="10">
        <v>68</v>
      </c>
      <c r="D15" s="67" t="s">
        <v>17</v>
      </c>
      <c r="E15" s="7">
        <v>2</v>
      </c>
      <c r="F15" s="7" t="s">
        <v>16</v>
      </c>
      <c r="G15" s="7"/>
      <c r="H15" s="85"/>
    </row>
    <row r="16" spans="1:8" ht="14.7" thickBot="1" x14ac:dyDescent="0.6">
      <c r="A16" s="11" t="s">
        <v>85</v>
      </c>
      <c r="B16" s="12">
        <v>60</v>
      </c>
      <c r="C16" s="12">
        <v>74</v>
      </c>
      <c r="D16" s="81" t="s">
        <v>17</v>
      </c>
      <c r="E16" s="7">
        <v>2</v>
      </c>
      <c r="F16" s="15" t="s">
        <v>16</v>
      </c>
      <c r="G16" s="12">
        <v>758</v>
      </c>
      <c r="H16" s="86">
        <f>Tabla2691462[[#This Row],[Total cluster weight (g)]]/COUNTA(A12:A16)</f>
        <v>151.6</v>
      </c>
    </row>
    <row r="17" spans="1:8" x14ac:dyDescent="0.55000000000000004">
      <c r="A17" s="4" t="s">
        <v>115</v>
      </c>
      <c r="B17" s="5">
        <v>48</v>
      </c>
      <c r="C17" s="5">
        <v>59</v>
      </c>
      <c r="D17" s="67" t="s">
        <v>17</v>
      </c>
      <c r="E17" s="7">
        <v>3</v>
      </c>
      <c r="F17" s="13" t="s">
        <v>15</v>
      </c>
      <c r="G17" s="7"/>
      <c r="H17" s="85"/>
    </row>
    <row r="18" spans="1:8" x14ac:dyDescent="0.55000000000000004">
      <c r="A18" s="8" t="s">
        <v>90</v>
      </c>
      <c r="B18" s="7">
        <v>49</v>
      </c>
      <c r="C18" s="7">
        <v>58</v>
      </c>
      <c r="D18" s="67" t="s">
        <v>17</v>
      </c>
      <c r="E18" s="7">
        <v>3</v>
      </c>
      <c r="F18" s="7" t="s">
        <v>16</v>
      </c>
      <c r="G18" s="7"/>
      <c r="H18" s="85"/>
    </row>
    <row r="19" spans="1:8" x14ac:dyDescent="0.55000000000000004">
      <c r="A19" s="8" t="s">
        <v>116</v>
      </c>
      <c r="B19" s="7">
        <v>51</v>
      </c>
      <c r="C19" s="7">
        <v>62</v>
      </c>
      <c r="D19" s="67" t="s">
        <v>17</v>
      </c>
      <c r="E19" s="7">
        <v>3</v>
      </c>
      <c r="F19" s="7" t="s">
        <v>16</v>
      </c>
      <c r="G19" s="7"/>
      <c r="H19" s="85"/>
    </row>
    <row r="20" spans="1:8" x14ac:dyDescent="0.55000000000000004">
      <c r="A20" s="9" t="s">
        <v>89</v>
      </c>
      <c r="B20" s="10">
        <v>57</v>
      </c>
      <c r="C20" s="10">
        <v>65</v>
      </c>
      <c r="D20" s="67" t="s">
        <v>17</v>
      </c>
      <c r="E20" s="7">
        <v>3</v>
      </c>
      <c r="F20" s="7" t="s">
        <v>16</v>
      </c>
      <c r="G20" s="7"/>
      <c r="H20" s="85"/>
    </row>
    <row r="21" spans="1:8" ht="14.7" thickBot="1" x14ac:dyDescent="0.6">
      <c r="A21" s="11" t="s">
        <v>99</v>
      </c>
      <c r="B21" s="12">
        <v>57</v>
      </c>
      <c r="C21" s="12">
        <v>66</v>
      </c>
      <c r="D21" s="81" t="s">
        <v>17</v>
      </c>
      <c r="E21" s="7">
        <v>3</v>
      </c>
      <c r="F21" s="15" t="s">
        <v>16</v>
      </c>
      <c r="G21" s="12">
        <v>563</v>
      </c>
      <c r="H21" s="61">
        <f>Tabla2691462[[#This Row],[Total cluster weight (g)]]/COUNTA(A17:A21)</f>
        <v>112.6</v>
      </c>
    </row>
    <row r="22" spans="1:8" x14ac:dyDescent="0.55000000000000004">
      <c r="A22" s="22" t="s">
        <v>91</v>
      </c>
      <c r="B22" s="10">
        <v>53</v>
      </c>
      <c r="C22" s="10">
        <v>65</v>
      </c>
      <c r="D22" s="71" t="s">
        <v>17</v>
      </c>
      <c r="E22" s="10">
        <v>4</v>
      </c>
      <c r="F22" s="10" t="s">
        <v>15</v>
      </c>
      <c r="G22" s="10"/>
      <c r="H22" s="54"/>
    </row>
    <row r="23" spans="1:8" x14ac:dyDescent="0.55000000000000004">
      <c r="A23" s="8" t="s">
        <v>92</v>
      </c>
      <c r="B23" s="7">
        <v>54</v>
      </c>
      <c r="C23" s="7">
        <v>68</v>
      </c>
      <c r="D23" s="67" t="s">
        <v>17</v>
      </c>
      <c r="E23" s="10">
        <v>4</v>
      </c>
      <c r="F23" s="7" t="s">
        <v>16</v>
      </c>
      <c r="G23" s="7"/>
      <c r="H23" s="50"/>
    </row>
    <row r="24" spans="1:8" x14ac:dyDescent="0.55000000000000004">
      <c r="A24" s="8" t="s">
        <v>94</v>
      </c>
      <c r="B24" s="7">
        <v>56</v>
      </c>
      <c r="C24" s="7">
        <v>65</v>
      </c>
      <c r="D24" s="67" t="s">
        <v>17</v>
      </c>
      <c r="E24" s="10">
        <v>4</v>
      </c>
      <c r="F24" s="7" t="s">
        <v>16</v>
      </c>
      <c r="G24" s="7"/>
      <c r="H24" s="50"/>
    </row>
    <row r="25" spans="1:8" x14ac:dyDescent="0.55000000000000004">
      <c r="A25" s="8" t="s">
        <v>95</v>
      </c>
      <c r="B25" s="7">
        <v>55</v>
      </c>
      <c r="C25" s="7">
        <v>67</v>
      </c>
      <c r="D25" s="67" t="s">
        <v>17</v>
      </c>
      <c r="E25" s="10">
        <v>4</v>
      </c>
      <c r="F25" s="7" t="s">
        <v>16</v>
      </c>
      <c r="G25" s="7"/>
      <c r="H25" s="50"/>
    </row>
    <row r="26" spans="1:8" ht="14.7" thickBot="1" x14ac:dyDescent="0.6">
      <c r="A26" s="23" t="s">
        <v>107</v>
      </c>
      <c r="B26" s="12">
        <v>55</v>
      </c>
      <c r="C26" s="12">
        <v>70</v>
      </c>
      <c r="D26" s="81" t="s">
        <v>17</v>
      </c>
      <c r="E26" s="10">
        <v>4</v>
      </c>
      <c r="F26" s="12" t="s">
        <v>16</v>
      </c>
      <c r="G26" s="12">
        <v>694</v>
      </c>
      <c r="H26" s="58">
        <f>Tabla2691462[[#This Row],[Total cluster weight (g)]]/COUNTA(A22:A26)</f>
        <v>138.80000000000001</v>
      </c>
    </row>
    <row r="27" spans="1:8" x14ac:dyDescent="0.55000000000000004">
      <c r="A27" s="22" t="s">
        <v>108</v>
      </c>
      <c r="B27" s="10">
        <v>53</v>
      </c>
      <c r="C27" s="10">
        <v>60</v>
      </c>
      <c r="D27" s="71" t="s">
        <v>17</v>
      </c>
      <c r="E27" s="10">
        <v>5</v>
      </c>
      <c r="F27" s="10" t="s">
        <v>16</v>
      </c>
      <c r="G27" s="10"/>
      <c r="H27" s="53"/>
    </row>
    <row r="28" spans="1:8" x14ac:dyDescent="0.55000000000000004">
      <c r="A28" s="8" t="s">
        <v>109</v>
      </c>
      <c r="B28" s="7">
        <v>54</v>
      </c>
      <c r="C28" s="7">
        <v>63</v>
      </c>
      <c r="D28" s="67" t="s">
        <v>17</v>
      </c>
      <c r="E28" s="10">
        <v>5</v>
      </c>
      <c r="F28" s="7" t="s">
        <v>16</v>
      </c>
      <c r="G28" s="7"/>
      <c r="H28" s="53"/>
    </row>
    <row r="29" spans="1:8" x14ac:dyDescent="0.55000000000000004">
      <c r="A29" s="8" t="s">
        <v>110</v>
      </c>
      <c r="B29" s="7">
        <v>55</v>
      </c>
      <c r="C29" s="7">
        <v>67</v>
      </c>
      <c r="D29" s="67" t="s">
        <v>17</v>
      </c>
      <c r="E29" s="10">
        <v>5</v>
      </c>
      <c r="F29" s="7" t="s">
        <v>16</v>
      </c>
      <c r="G29" s="7"/>
      <c r="H29" s="53"/>
    </row>
    <row r="30" spans="1:8" x14ac:dyDescent="0.55000000000000004">
      <c r="A30" s="8" t="s">
        <v>111</v>
      </c>
      <c r="B30" s="7">
        <v>54</v>
      </c>
      <c r="C30" s="7">
        <v>68</v>
      </c>
      <c r="D30" s="67" t="s">
        <v>17</v>
      </c>
      <c r="E30" s="10">
        <v>5</v>
      </c>
      <c r="F30" s="7" t="s">
        <v>16</v>
      </c>
      <c r="G30" s="7"/>
      <c r="H30" s="53"/>
    </row>
    <row r="31" spans="1:8" ht="14.7" thickBot="1" x14ac:dyDescent="0.6">
      <c r="A31" s="23" t="s">
        <v>119</v>
      </c>
      <c r="B31" s="12">
        <v>55</v>
      </c>
      <c r="C31" s="12">
        <v>66</v>
      </c>
      <c r="D31" s="81" t="s">
        <v>17</v>
      </c>
      <c r="E31" s="10">
        <v>5</v>
      </c>
      <c r="F31" s="12" t="s">
        <v>16</v>
      </c>
      <c r="G31" s="12">
        <v>665</v>
      </c>
      <c r="H31" s="61">
        <f>Tabla2691462[[#This Row],[Total cluster weight (g)]]/COUNTA(A27:A31)</f>
        <v>133</v>
      </c>
    </row>
    <row r="32" spans="1:8" x14ac:dyDescent="0.55000000000000004">
      <c r="A32" s="22" t="s">
        <v>120</v>
      </c>
      <c r="B32" s="10">
        <v>54</v>
      </c>
      <c r="C32" s="10">
        <v>60</v>
      </c>
      <c r="D32" s="71" t="s">
        <v>17</v>
      </c>
      <c r="E32" s="10">
        <v>6</v>
      </c>
      <c r="F32" s="10" t="s">
        <v>23</v>
      </c>
      <c r="G32" s="10"/>
      <c r="H32" s="54"/>
    </row>
    <row r="33" spans="1:8" x14ac:dyDescent="0.55000000000000004">
      <c r="A33" s="8" t="s">
        <v>121</v>
      </c>
      <c r="B33" s="7">
        <v>53</v>
      </c>
      <c r="C33" s="7">
        <v>63</v>
      </c>
      <c r="D33" s="67" t="s">
        <v>17</v>
      </c>
      <c r="E33" s="10">
        <v>6</v>
      </c>
      <c r="F33" s="7" t="s">
        <v>15</v>
      </c>
      <c r="G33" s="7"/>
      <c r="H33" s="50"/>
    </row>
    <row r="34" spans="1:8" x14ac:dyDescent="0.55000000000000004">
      <c r="A34" s="8" t="s">
        <v>122</v>
      </c>
      <c r="B34" s="7">
        <v>55</v>
      </c>
      <c r="C34" s="7">
        <v>65</v>
      </c>
      <c r="D34" s="67" t="s">
        <v>17</v>
      </c>
      <c r="E34" s="10">
        <v>6</v>
      </c>
      <c r="F34" s="7" t="s">
        <v>15</v>
      </c>
      <c r="G34" s="7"/>
      <c r="H34" s="50"/>
    </row>
    <row r="35" spans="1:8" ht="14.7" thickBot="1" x14ac:dyDescent="0.6">
      <c r="A35" s="23" t="s">
        <v>123</v>
      </c>
      <c r="B35" s="12">
        <v>59</v>
      </c>
      <c r="C35" s="12">
        <v>73</v>
      </c>
      <c r="D35" s="81" t="s">
        <v>17</v>
      </c>
      <c r="E35" s="10">
        <v>6</v>
      </c>
      <c r="F35" s="12" t="s">
        <v>15</v>
      </c>
      <c r="G35" s="12">
        <v>500</v>
      </c>
      <c r="H35" s="58">
        <f>Tabla2691462[[#This Row],[Total cluster weight (g)]]/COUNTA(A32:A35)</f>
        <v>125</v>
      </c>
    </row>
    <row r="36" spans="1:8" x14ac:dyDescent="0.55000000000000004">
      <c r="A36" s="22" t="s">
        <v>124</v>
      </c>
      <c r="B36" s="10">
        <v>51</v>
      </c>
      <c r="C36" s="10">
        <v>60</v>
      </c>
      <c r="D36" s="71" t="s">
        <v>17</v>
      </c>
      <c r="E36" s="10">
        <v>7</v>
      </c>
      <c r="F36" s="10" t="s">
        <v>15</v>
      </c>
      <c r="G36" s="10"/>
      <c r="H36" s="54"/>
    </row>
    <row r="37" spans="1:8" x14ac:dyDescent="0.55000000000000004">
      <c r="A37" s="8" t="s">
        <v>125</v>
      </c>
      <c r="B37" s="7">
        <v>55</v>
      </c>
      <c r="C37" s="7">
        <v>65</v>
      </c>
      <c r="D37" s="67" t="s">
        <v>17</v>
      </c>
      <c r="E37" s="10">
        <v>7</v>
      </c>
      <c r="F37" s="7" t="s">
        <v>16</v>
      </c>
      <c r="G37" s="7"/>
      <c r="H37" s="50"/>
    </row>
    <row r="38" spans="1:8" x14ac:dyDescent="0.55000000000000004">
      <c r="A38" s="8" t="s">
        <v>126</v>
      </c>
      <c r="B38" s="7">
        <v>56</v>
      </c>
      <c r="C38" s="7">
        <v>69</v>
      </c>
      <c r="D38" s="67" t="s">
        <v>17</v>
      </c>
      <c r="E38" s="10">
        <v>7</v>
      </c>
      <c r="F38" s="7" t="s">
        <v>16</v>
      </c>
      <c r="G38" s="7"/>
      <c r="H38" s="50"/>
    </row>
    <row r="39" spans="1:8" x14ac:dyDescent="0.55000000000000004">
      <c r="A39" s="8" t="s">
        <v>127</v>
      </c>
      <c r="B39" s="7">
        <v>55</v>
      </c>
      <c r="C39" s="7">
        <v>62</v>
      </c>
      <c r="D39" s="67" t="s">
        <v>17</v>
      </c>
      <c r="E39" s="10">
        <v>7</v>
      </c>
      <c r="F39" s="7" t="s">
        <v>16</v>
      </c>
      <c r="G39" s="7"/>
      <c r="H39" s="50"/>
    </row>
    <row r="40" spans="1:8" ht="14.7" thickBot="1" x14ac:dyDescent="0.6">
      <c r="A40" s="23" t="s">
        <v>128</v>
      </c>
      <c r="B40" s="12">
        <v>57</v>
      </c>
      <c r="C40" s="12">
        <v>66</v>
      </c>
      <c r="D40" s="81" t="s">
        <v>17</v>
      </c>
      <c r="E40" s="10">
        <v>7</v>
      </c>
      <c r="F40" s="12" t="s">
        <v>16</v>
      </c>
      <c r="G40" s="12">
        <v>604</v>
      </c>
      <c r="H40" s="58">
        <f>Tabla2691462[[#This Row],[Total cluster weight (g)]]/COUNTA(A36:A40)</f>
        <v>120.8</v>
      </c>
    </row>
    <row r="41" spans="1:8" x14ac:dyDescent="0.55000000000000004">
      <c r="A41" s="4" t="s">
        <v>131</v>
      </c>
      <c r="B41" s="5">
        <v>51</v>
      </c>
      <c r="C41" s="5">
        <v>58</v>
      </c>
      <c r="D41" s="14" t="s">
        <v>17</v>
      </c>
      <c r="E41" s="7">
        <v>8</v>
      </c>
      <c r="F41" s="13" t="s">
        <v>15</v>
      </c>
      <c r="G41" s="7"/>
      <c r="H41" s="53"/>
    </row>
    <row r="42" spans="1:8" x14ac:dyDescent="0.55000000000000004">
      <c r="A42" s="6" t="s">
        <v>132</v>
      </c>
      <c r="B42" s="7">
        <v>53</v>
      </c>
      <c r="C42" s="7">
        <v>60</v>
      </c>
      <c r="D42" s="14" t="s">
        <v>17</v>
      </c>
      <c r="E42" s="7">
        <v>8</v>
      </c>
      <c r="F42" s="7" t="s">
        <v>15</v>
      </c>
      <c r="G42" s="7"/>
      <c r="H42" s="53"/>
    </row>
    <row r="43" spans="1:8" x14ac:dyDescent="0.55000000000000004">
      <c r="A43" s="8" t="s">
        <v>133</v>
      </c>
      <c r="B43" s="7">
        <v>52</v>
      </c>
      <c r="C43" s="7">
        <v>61</v>
      </c>
      <c r="D43" s="14" t="s">
        <v>17</v>
      </c>
      <c r="E43" s="7">
        <v>8</v>
      </c>
      <c r="F43" s="7" t="s">
        <v>16</v>
      </c>
      <c r="G43" s="7"/>
      <c r="H43" s="53"/>
    </row>
    <row r="44" spans="1:8" x14ac:dyDescent="0.55000000000000004">
      <c r="A44" s="9" t="s">
        <v>134</v>
      </c>
      <c r="B44" s="10">
        <v>54</v>
      </c>
      <c r="C44" s="10">
        <v>59</v>
      </c>
      <c r="D44" s="14" t="s">
        <v>17</v>
      </c>
      <c r="E44" s="7">
        <v>8</v>
      </c>
      <c r="F44" s="7" t="s">
        <v>16</v>
      </c>
      <c r="G44" s="7"/>
      <c r="H44" s="53"/>
    </row>
    <row r="45" spans="1:8" ht="14.7" thickBot="1" x14ac:dyDescent="0.6">
      <c r="A45" s="11" t="s">
        <v>135</v>
      </c>
      <c r="B45" s="12">
        <v>56</v>
      </c>
      <c r="C45" s="12">
        <v>62</v>
      </c>
      <c r="D45" s="16" t="s">
        <v>17</v>
      </c>
      <c r="E45" s="7">
        <v>8</v>
      </c>
      <c r="F45" s="15" t="s">
        <v>16</v>
      </c>
      <c r="G45" s="12">
        <v>516</v>
      </c>
      <c r="H45" s="61">
        <f>Tabla2691462[[#This Row],[Total cluster weight (g)]]/COUNTA(A41:A45)</f>
        <v>103.2</v>
      </c>
    </row>
    <row r="46" spans="1:8" x14ac:dyDescent="0.55000000000000004">
      <c r="A46" s="4" t="s">
        <v>193</v>
      </c>
      <c r="B46" s="5">
        <v>55</v>
      </c>
      <c r="C46" s="5">
        <v>61</v>
      </c>
      <c r="D46" s="14" t="s">
        <v>17</v>
      </c>
      <c r="E46" s="7">
        <v>9</v>
      </c>
      <c r="F46" s="13" t="s">
        <v>15</v>
      </c>
      <c r="G46" s="7"/>
      <c r="H46" s="85"/>
    </row>
    <row r="47" spans="1:8" x14ac:dyDescent="0.55000000000000004">
      <c r="A47" s="6" t="s">
        <v>194</v>
      </c>
      <c r="B47" s="7">
        <v>58</v>
      </c>
      <c r="C47" s="7">
        <v>63</v>
      </c>
      <c r="D47" s="14" t="s">
        <v>17</v>
      </c>
      <c r="E47" s="7">
        <v>9</v>
      </c>
      <c r="F47" s="7" t="s">
        <v>15</v>
      </c>
      <c r="G47" s="7"/>
      <c r="H47" s="85"/>
    </row>
    <row r="48" spans="1:8" x14ac:dyDescent="0.55000000000000004">
      <c r="A48" s="8" t="s">
        <v>195</v>
      </c>
      <c r="B48" s="7">
        <v>58</v>
      </c>
      <c r="C48" s="7">
        <v>63</v>
      </c>
      <c r="D48" s="14" t="s">
        <v>17</v>
      </c>
      <c r="E48" s="7">
        <v>9</v>
      </c>
      <c r="F48" s="7" t="s">
        <v>16</v>
      </c>
      <c r="G48" s="7"/>
      <c r="H48" s="85"/>
    </row>
    <row r="49" spans="1:8" x14ac:dyDescent="0.55000000000000004">
      <c r="A49" s="9" t="s">
        <v>139</v>
      </c>
      <c r="B49" s="10">
        <v>56</v>
      </c>
      <c r="C49" s="10">
        <v>63</v>
      </c>
      <c r="D49" s="14" t="s">
        <v>17</v>
      </c>
      <c r="E49" s="7">
        <v>9</v>
      </c>
      <c r="F49" s="7" t="s">
        <v>16</v>
      </c>
      <c r="G49" s="7"/>
      <c r="H49" s="85"/>
    </row>
    <row r="50" spans="1:8" ht="14.7" thickBot="1" x14ac:dyDescent="0.6">
      <c r="A50" s="11" t="s">
        <v>140</v>
      </c>
      <c r="B50" s="12">
        <v>57</v>
      </c>
      <c r="C50" s="12">
        <v>66</v>
      </c>
      <c r="D50" s="16" t="s">
        <v>17</v>
      </c>
      <c r="E50" s="7">
        <v>9</v>
      </c>
      <c r="F50" s="15" t="s">
        <v>16</v>
      </c>
      <c r="G50" s="12">
        <v>600</v>
      </c>
      <c r="H50" s="61">
        <f>Tabla2691462[[#This Row],[Total cluster weight (g)]]/COUNTA(A46:A50)</f>
        <v>120</v>
      </c>
    </row>
    <row r="51" spans="1:8" x14ac:dyDescent="0.55000000000000004">
      <c r="A51" s="4" t="s">
        <v>142</v>
      </c>
      <c r="B51" s="5">
        <v>63</v>
      </c>
      <c r="C51" s="5">
        <v>68</v>
      </c>
      <c r="D51" s="14" t="s">
        <v>17</v>
      </c>
      <c r="E51" s="7">
        <v>10</v>
      </c>
      <c r="F51" s="13" t="s">
        <v>16</v>
      </c>
      <c r="G51" s="7"/>
      <c r="H51" s="53"/>
    </row>
    <row r="52" spans="1:8" x14ac:dyDescent="0.55000000000000004">
      <c r="A52" s="6" t="s">
        <v>143</v>
      </c>
      <c r="B52" s="7">
        <v>59</v>
      </c>
      <c r="C52" s="7">
        <v>69</v>
      </c>
      <c r="D52" s="14" t="s">
        <v>17</v>
      </c>
      <c r="E52" s="7">
        <v>10</v>
      </c>
      <c r="F52" s="7" t="s">
        <v>16</v>
      </c>
      <c r="G52" s="7"/>
      <c r="H52" s="53"/>
    </row>
    <row r="53" spans="1:8" x14ac:dyDescent="0.55000000000000004">
      <c r="A53" s="8" t="s">
        <v>144</v>
      </c>
      <c r="B53" s="7">
        <v>60</v>
      </c>
      <c r="C53" s="7">
        <v>68</v>
      </c>
      <c r="D53" s="14" t="s">
        <v>17</v>
      </c>
      <c r="E53" s="7">
        <v>10</v>
      </c>
      <c r="F53" s="7" t="s">
        <v>16</v>
      </c>
      <c r="G53" s="7"/>
      <c r="H53" s="53"/>
    </row>
    <row r="54" spans="1:8" x14ac:dyDescent="0.55000000000000004">
      <c r="A54" s="9" t="s">
        <v>145</v>
      </c>
      <c r="B54" s="10">
        <v>60</v>
      </c>
      <c r="C54" s="10">
        <v>67</v>
      </c>
      <c r="D54" s="14" t="s">
        <v>17</v>
      </c>
      <c r="E54" s="7">
        <v>10</v>
      </c>
      <c r="F54" s="7" t="s">
        <v>16</v>
      </c>
      <c r="G54" s="7"/>
      <c r="H54" s="53"/>
    </row>
    <row r="55" spans="1:8" ht="14.7" thickBot="1" x14ac:dyDescent="0.6">
      <c r="A55" s="11" t="s">
        <v>146</v>
      </c>
      <c r="B55" s="12">
        <v>60</v>
      </c>
      <c r="C55" s="12">
        <v>75</v>
      </c>
      <c r="D55" s="16" t="s">
        <v>17</v>
      </c>
      <c r="E55" s="7">
        <v>10</v>
      </c>
      <c r="F55" s="15" t="s">
        <v>16</v>
      </c>
      <c r="G55" s="12">
        <v>719.5</v>
      </c>
      <c r="H55" s="61">
        <f>Tabla2691462[[#This Row],[Total cluster weight (g)]]/COUNTA(A51:A55)</f>
        <v>143.9</v>
      </c>
    </row>
    <row r="56" spans="1:8" x14ac:dyDescent="0.55000000000000004">
      <c r="A56" s="4" t="s">
        <v>148</v>
      </c>
      <c r="B56" s="5">
        <v>55</v>
      </c>
      <c r="C56" s="5">
        <v>61</v>
      </c>
      <c r="D56" s="14" t="s">
        <v>17</v>
      </c>
      <c r="E56" s="7">
        <v>11</v>
      </c>
      <c r="F56" s="13" t="s">
        <v>15</v>
      </c>
      <c r="G56" s="7"/>
      <c r="H56" s="53"/>
    </row>
    <row r="57" spans="1:8" x14ac:dyDescent="0.55000000000000004">
      <c r="A57" s="6" t="s">
        <v>149</v>
      </c>
      <c r="B57" s="7">
        <v>56</v>
      </c>
      <c r="C57" s="7">
        <v>62</v>
      </c>
      <c r="D57" s="14" t="s">
        <v>17</v>
      </c>
      <c r="E57" s="7">
        <v>11</v>
      </c>
      <c r="F57" s="7" t="s">
        <v>15</v>
      </c>
      <c r="G57" s="7"/>
      <c r="H57" s="53"/>
    </row>
    <row r="58" spans="1:8" x14ac:dyDescent="0.55000000000000004">
      <c r="A58" s="8" t="s">
        <v>150</v>
      </c>
      <c r="B58" s="7">
        <v>60</v>
      </c>
      <c r="C58" s="7">
        <v>63</v>
      </c>
      <c r="D58" s="14" t="s">
        <v>17</v>
      </c>
      <c r="E58" s="7">
        <v>11</v>
      </c>
      <c r="F58" s="7" t="s">
        <v>15</v>
      </c>
      <c r="G58" s="7"/>
      <c r="H58" s="53"/>
    </row>
    <row r="59" spans="1:8" x14ac:dyDescent="0.55000000000000004">
      <c r="A59" s="9" t="s">
        <v>151</v>
      </c>
      <c r="B59" s="10">
        <v>62</v>
      </c>
      <c r="C59" s="10">
        <v>65</v>
      </c>
      <c r="D59" s="14" t="s">
        <v>17</v>
      </c>
      <c r="E59" s="7">
        <v>11</v>
      </c>
      <c r="F59" s="7" t="s">
        <v>15</v>
      </c>
      <c r="G59" s="7"/>
      <c r="H59" s="53"/>
    </row>
    <row r="60" spans="1:8" ht="14.7" thickBot="1" x14ac:dyDescent="0.6">
      <c r="A60" s="11" t="s">
        <v>152</v>
      </c>
      <c r="B60" s="12">
        <v>59</v>
      </c>
      <c r="C60" s="12">
        <v>64</v>
      </c>
      <c r="D60" s="16" t="s">
        <v>17</v>
      </c>
      <c r="E60" s="7">
        <v>11</v>
      </c>
      <c r="F60" s="15" t="s">
        <v>15</v>
      </c>
      <c r="G60" s="12">
        <v>633</v>
      </c>
      <c r="H60" s="61">
        <f>Tabla2691462[[#This Row],[Total cluster weight (g)]]/COUNTA(A56:A60)</f>
        <v>126.6</v>
      </c>
    </row>
    <row r="61" spans="1:8" x14ac:dyDescent="0.55000000000000004">
      <c r="A61" s="19"/>
      <c r="B61" s="20"/>
      <c r="C61" s="20"/>
      <c r="D61" s="21"/>
      <c r="E61" s="20"/>
      <c r="F61" s="20"/>
      <c r="G61" s="20"/>
      <c r="H61" s="53"/>
    </row>
    <row r="62" spans="1:8" x14ac:dyDescent="0.55000000000000004">
      <c r="A62" s="39" t="s">
        <v>55</v>
      </c>
      <c r="B62" s="35" t="s">
        <v>44</v>
      </c>
      <c r="C62" s="35" t="s">
        <v>45</v>
      </c>
      <c r="D62" s="35" t="s">
        <v>46</v>
      </c>
      <c r="E62" s="35" t="s">
        <v>47</v>
      </c>
      <c r="F62" s="36" t="s">
        <v>56</v>
      </c>
      <c r="G62" s="60" t="s">
        <v>72</v>
      </c>
    </row>
    <row r="63" spans="1:8" x14ac:dyDescent="0.55000000000000004">
      <c r="A63" s="40" t="s">
        <v>48</v>
      </c>
      <c r="B63" s="37">
        <f>AVERAGE(Tabla2691462[Height (mm)])</f>
        <v>55.314814814814817</v>
      </c>
      <c r="C63" s="37">
        <f>AVERAGE(Tabla2691462[Width (mm)])</f>
        <v>64.425925925925924</v>
      </c>
      <c r="D63" s="37">
        <f>MAX(Tabla2691462[[Cluster number ]])</f>
        <v>11</v>
      </c>
      <c r="E63" s="37">
        <f>AVERAGE(Tabla2691462[Tomato average weight per cluster])</f>
        <v>125.74545454545455</v>
      </c>
      <c r="F63" s="38">
        <f>COUNTA(Tabla2691462["C11" PLANT])</f>
        <v>54</v>
      </c>
      <c r="G63" s="59">
        <f>SUM(Tabla2691462[Total cluster weight (g)])</f>
        <v>6791</v>
      </c>
    </row>
    <row r="65" spans="1:8" x14ac:dyDescent="0.55000000000000004">
      <c r="A65" s="3" t="s">
        <v>9</v>
      </c>
      <c r="B65" t="s">
        <v>2</v>
      </c>
      <c r="C65" t="s">
        <v>3</v>
      </c>
      <c r="D65" t="s">
        <v>4</v>
      </c>
      <c r="E65" t="s">
        <v>5</v>
      </c>
      <c r="F65" t="s">
        <v>6</v>
      </c>
      <c r="G65" t="s">
        <v>7</v>
      </c>
      <c r="H65" t="s">
        <v>43</v>
      </c>
    </row>
    <row r="66" spans="1:8" x14ac:dyDescent="0.55000000000000004">
      <c r="A66" s="41" t="s">
        <v>101</v>
      </c>
      <c r="B66" s="7">
        <v>55</v>
      </c>
      <c r="C66" s="7">
        <v>61</v>
      </c>
      <c r="D66" s="18" t="s">
        <v>17</v>
      </c>
      <c r="E66" s="7">
        <v>1</v>
      </c>
      <c r="F66" s="7" t="s">
        <v>16</v>
      </c>
      <c r="G66" s="7"/>
      <c r="H66" s="50"/>
    </row>
    <row r="67" spans="1:8" x14ac:dyDescent="0.55000000000000004">
      <c r="A67" s="41" t="s">
        <v>97</v>
      </c>
      <c r="B67" s="7">
        <v>55</v>
      </c>
      <c r="C67" s="7">
        <v>62</v>
      </c>
      <c r="D67" s="18" t="s">
        <v>17</v>
      </c>
      <c r="E67" s="7">
        <v>1</v>
      </c>
      <c r="F67" s="7" t="s">
        <v>16</v>
      </c>
      <c r="G67" s="7"/>
      <c r="H67" s="50"/>
    </row>
    <row r="68" spans="1:8" x14ac:dyDescent="0.55000000000000004">
      <c r="A68" s="41" t="s">
        <v>102</v>
      </c>
      <c r="B68" s="7">
        <v>58</v>
      </c>
      <c r="C68" s="7">
        <v>66</v>
      </c>
      <c r="D68" s="18" t="s">
        <v>17</v>
      </c>
      <c r="E68" s="7">
        <v>1</v>
      </c>
      <c r="F68" s="7" t="s">
        <v>16</v>
      </c>
      <c r="G68" s="7"/>
      <c r="H68" s="50"/>
    </row>
    <row r="69" spans="1:8" x14ac:dyDescent="0.55000000000000004">
      <c r="A69" s="41" t="s">
        <v>75</v>
      </c>
      <c r="B69" s="7">
        <v>59</v>
      </c>
      <c r="C69" s="7">
        <v>69</v>
      </c>
      <c r="D69" s="18" t="s">
        <v>17</v>
      </c>
      <c r="E69" s="7">
        <v>1</v>
      </c>
      <c r="F69" s="7" t="s">
        <v>16</v>
      </c>
      <c r="G69" s="7"/>
      <c r="H69" s="50"/>
    </row>
    <row r="70" spans="1:8" ht="14.7" thickBot="1" x14ac:dyDescent="0.6">
      <c r="A70" s="55" t="s">
        <v>76</v>
      </c>
      <c r="B70" s="12">
        <v>59</v>
      </c>
      <c r="C70" s="12">
        <v>66</v>
      </c>
      <c r="D70" s="17" t="s">
        <v>17</v>
      </c>
      <c r="E70" s="7">
        <v>1</v>
      </c>
      <c r="F70" s="12" t="s">
        <v>16</v>
      </c>
      <c r="G70" s="12">
        <v>671.5</v>
      </c>
      <c r="H70" s="58">
        <f>Tabla269161765[[#This Row],[Total cluster weight (g)]]/COUNTA(A66:A70)</f>
        <v>134.30000000000001</v>
      </c>
    </row>
    <row r="71" spans="1:8" x14ac:dyDescent="0.55000000000000004">
      <c r="A71" s="41" t="s">
        <v>77</v>
      </c>
      <c r="B71" s="7">
        <v>58</v>
      </c>
      <c r="C71" s="7">
        <v>64</v>
      </c>
      <c r="D71" s="18" t="s">
        <v>17</v>
      </c>
      <c r="E71" s="7">
        <v>2</v>
      </c>
      <c r="F71" s="7" t="s">
        <v>15</v>
      </c>
      <c r="G71" s="7"/>
      <c r="H71" s="50"/>
    </row>
    <row r="72" spans="1:8" x14ac:dyDescent="0.55000000000000004">
      <c r="A72" s="41" t="s">
        <v>83</v>
      </c>
      <c r="B72" s="7">
        <v>56</v>
      </c>
      <c r="C72" s="7">
        <v>64</v>
      </c>
      <c r="D72" s="18" t="s">
        <v>17</v>
      </c>
      <c r="E72" s="7">
        <v>2</v>
      </c>
      <c r="F72" s="7" t="s">
        <v>15</v>
      </c>
      <c r="G72" s="7"/>
      <c r="H72" s="50"/>
    </row>
    <row r="73" spans="1:8" x14ac:dyDescent="0.55000000000000004">
      <c r="A73" s="41" t="s">
        <v>84</v>
      </c>
      <c r="B73" s="7">
        <v>55</v>
      </c>
      <c r="C73" s="7">
        <v>61</v>
      </c>
      <c r="D73" s="18" t="s">
        <v>17</v>
      </c>
      <c r="E73" s="7">
        <v>2</v>
      </c>
      <c r="F73" s="7" t="s">
        <v>15</v>
      </c>
      <c r="G73" s="7"/>
      <c r="H73" s="50"/>
    </row>
    <row r="74" spans="1:8" x14ac:dyDescent="0.55000000000000004">
      <c r="A74" s="41" t="s">
        <v>85</v>
      </c>
      <c r="B74" s="7">
        <v>60</v>
      </c>
      <c r="C74" s="7">
        <v>67</v>
      </c>
      <c r="D74" s="18" t="s">
        <v>17</v>
      </c>
      <c r="E74" s="7">
        <v>2</v>
      </c>
      <c r="F74" s="7" t="s">
        <v>16</v>
      </c>
      <c r="G74" s="7"/>
      <c r="H74" s="50"/>
    </row>
    <row r="75" spans="1:8" ht="14.7" thickBot="1" x14ac:dyDescent="0.6">
      <c r="A75" s="55" t="s">
        <v>86</v>
      </c>
      <c r="B75" s="12">
        <v>57</v>
      </c>
      <c r="C75" s="12">
        <v>68</v>
      </c>
      <c r="D75" s="17" t="s">
        <v>17</v>
      </c>
      <c r="E75" s="7">
        <v>2</v>
      </c>
      <c r="F75" s="12" t="s">
        <v>16</v>
      </c>
      <c r="G75" s="12">
        <v>689.5</v>
      </c>
      <c r="H75" s="58">
        <f>Tabla269161765[[#This Row],[Total cluster weight (g)]]/COUNTA(A71:A75)</f>
        <v>137.9</v>
      </c>
    </row>
    <row r="76" spans="1:8" x14ac:dyDescent="0.55000000000000004">
      <c r="A76" s="41" t="s">
        <v>87</v>
      </c>
      <c r="B76" s="7">
        <v>57</v>
      </c>
      <c r="C76" s="7">
        <v>69</v>
      </c>
      <c r="D76" s="101" t="s">
        <v>17</v>
      </c>
      <c r="E76" s="7">
        <v>3</v>
      </c>
      <c r="F76" s="7" t="s">
        <v>15</v>
      </c>
      <c r="G76" s="7"/>
      <c r="H76" s="50"/>
    </row>
    <row r="77" spans="1:8" x14ac:dyDescent="0.55000000000000004">
      <c r="A77" s="41" t="s">
        <v>88</v>
      </c>
      <c r="B77" s="7">
        <v>58</v>
      </c>
      <c r="C77" s="7">
        <v>64</v>
      </c>
      <c r="D77" s="101" t="s">
        <v>17</v>
      </c>
      <c r="E77" s="7">
        <v>3</v>
      </c>
      <c r="F77" s="7" t="s">
        <v>15</v>
      </c>
      <c r="G77" s="7"/>
      <c r="H77" s="50"/>
    </row>
    <row r="78" spans="1:8" x14ac:dyDescent="0.55000000000000004">
      <c r="A78" s="41" t="s">
        <v>89</v>
      </c>
      <c r="B78" s="7">
        <v>57</v>
      </c>
      <c r="C78" s="7">
        <v>66</v>
      </c>
      <c r="D78" s="101" t="s">
        <v>17</v>
      </c>
      <c r="E78" s="7">
        <v>3</v>
      </c>
      <c r="F78" s="7" t="s">
        <v>15</v>
      </c>
      <c r="G78" s="7"/>
      <c r="H78" s="50"/>
    </row>
    <row r="79" spans="1:8" x14ac:dyDescent="0.55000000000000004">
      <c r="A79" s="41" t="s">
        <v>99</v>
      </c>
      <c r="B79" s="7">
        <v>57</v>
      </c>
      <c r="C79" s="7">
        <v>70</v>
      </c>
      <c r="D79" s="101" t="s">
        <v>17</v>
      </c>
      <c r="E79" s="7">
        <v>3</v>
      </c>
      <c r="F79" s="7" t="s">
        <v>15</v>
      </c>
      <c r="G79" s="7"/>
      <c r="H79" s="50"/>
    </row>
    <row r="80" spans="1:8" ht="14.7" thickBot="1" x14ac:dyDescent="0.6">
      <c r="A80" s="55" t="s">
        <v>91</v>
      </c>
      <c r="B80" s="12">
        <v>52</v>
      </c>
      <c r="C80" s="12">
        <v>59</v>
      </c>
      <c r="D80" s="103" t="s">
        <v>17</v>
      </c>
      <c r="E80" s="7">
        <v>3</v>
      </c>
      <c r="F80" s="12" t="s">
        <v>16</v>
      </c>
      <c r="G80" s="12">
        <v>673</v>
      </c>
      <c r="H80" s="58">
        <f>Tabla269161765[[#This Row],[Total cluster weight (g)]]/COUNTA(A76:A80)</f>
        <v>134.6</v>
      </c>
    </row>
    <row r="81" spans="1:9" x14ac:dyDescent="0.55000000000000004">
      <c r="A81" s="41" t="s">
        <v>92</v>
      </c>
      <c r="B81" s="7">
        <v>57</v>
      </c>
      <c r="C81" s="7">
        <v>68</v>
      </c>
      <c r="D81" s="18" t="s">
        <v>17</v>
      </c>
      <c r="E81" s="7">
        <v>4</v>
      </c>
      <c r="F81" s="7" t="s">
        <v>129</v>
      </c>
      <c r="G81" s="7"/>
      <c r="H81" s="50"/>
      <c r="I81" s="77"/>
    </row>
    <row r="82" spans="1:9" x14ac:dyDescent="0.55000000000000004">
      <c r="A82" s="41" t="s">
        <v>94</v>
      </c>
      <c r="B82" s="7">
        <v>55</v>
      </c>
      <c r="C82" s="7">
        <v>63</v>
      </c>
      <c r="D82" s="18" t="s">
        <v>17</v>
      </c>
      <c r="E82" s="7">
        <v>4</v>
      </c>
      <c r="F82" s="7" t="s">
        <v>129</v>
      </c>
      <c r="G82" s="7"/>
      <c r="H82" s="50"/>
    </row>
    <row r="83" spans="1:9" x14ac:dyDescent="0.55000000000000004">
      <c r="A83" s="41" t="s">
        <v>95</v>
      </c>
      <c r="B83" s="7">
        <v>58</v>
      </c>
      <c r="C83" s="7">
        <v>69</v>
      </c>
      <c r="D83" s="18" t="s">
        <v>17</v>
      </c>
      <c r="E83" s="7">
        <v>4</v>
      </c>
      <c r="F83" s="7" t="s">
        <v>129</v>
      </c>
      <c r="G83" s="7"/>
      <c r="H83" s="50"/>
    </row>
    <row r="84" spans="1:9" x14ac:dyDescent="0.55000000000000004">
      <c r="A84" s="41" t="s">
        <v>107</v>
      </c>
      <c r="B84" s="7">
        <v>58</v>
      </c>
      <c r="C84" s="7">
        <v>67</v>
      </c>
      <c r="D84" s="18" t="s">
        <v>17</v>
      </c>
      <c r="E84" s="7">
        <v>4</v>
      </c>
      <c r="F84" s="7" t="s">
        <v>129</v>
      </c>
      <c r="G84" s="7"/>
      <c r="H84" s="50"/>
    </row>
    <row r="85" spans="1:9" x14ac:dyDescent="0.55000000000000004">
      <c r="A85" s="41" t="s">
        <v>108</v>
      </c>
      <c r="B85" s="7">
        <v>58</v>
      </c>
      <c r="C85" s="7">
        <v>67</v>
      </c>
      <c r="D85" s="18" t="s">
        <v>17</v>
      </c>
      <c r="E85" s="7">
        <v>4</v>
      </c>
      <c r="F85" s="7" t="s">
        <v>129</v>
      </c>
      <c r="G85" s="7"/>
      <c r="H85" s="50"/>
    </row>
    <row r="86" spans="1:9" ht="14.7" thickBot="1" x14ac:dyDescent="0.6">
      <c r="A86" s="55" t="s">
        <v>109</v>
      </c>
      <c r="B86" s="12">
        <v>58</v>
      </c>
      <c r="C86" s="12">
        <v>68</v>
      </c>
      <c r="D86" s="17" t="s">
        <v>17</v>
      </c>
      <c r="E86" s="7">
        <v>4</v>
      </c>
      <c r="F86" s="12" t="s">
        <v>129</v>
      </c>
      <c r="G86" s="12">
        <v>894.5</v>
      </c>
      <c r="H86" s="58">
        <f>Tabla269161765[[#This Row],[Total cluster weight (g)]]/COUNTA(A81:A86)</f>
        <v>149.08333333333334</v>
      </c>
    </row>
    <row r="87" spans="1:9" x14ac:dyDescent="0.55000000000000004">
      <c r="A87" s="41" t="s">
        <v>110</v>
      </c>
      <c r="B87" s="7">
        <v>59</v>
      </c>
      <c r="C87" s="7">
        <v>67</v>
      </c>
      <c r="D87" s="18" t="s">
        <v>17</v>
      </c>
      <c r="E87" s="7">
        <v>5</v>
      </c>
      <c r="F87" s="7" t="s">
        <v>16</v>
      </c>
      <c r="G87" s="7"/>
      <c r="H87" s="50"/>
    </row>
    <row r="88" spans="1:9" x14ac:dyDescent="0.55000000000000004">
      <c r="A88" s="41" t="s">
        <v>111</v>
      </c>
      <c r="B88" s="7">
        <v>59</v>
      </c>
      <c r="C88" s="7">
        <v>67</v>
      </c>
      <c r="D88" s="18" t="s">
        <v>17</v>
      </c>
      <c r="E88" s="7">
        <v>5</v>
      </c>
      <c r="F88" s="7" t="s">
        <v>16</v>
      </c>
      <c r="G88" s="7"/>
      <c r="H88" s="50"/>
    </row>
    <row r="89" spans="1:9" x14ac:dyDescent="0.55000000000000004">
      <c r="A89" s="41" t="s">
        <v>119</v>
      </c>
      <c r="B89" s="7">
        <v>58</v>
      </c>
      <c r="C89" s="7">
        <v>66</v>
      </c>
      <c r="D89" s="18" t="s">
        <v>17</v>
      </c>
      <c r="E89" s="7">
        <v>5</v>
      </c>
      <c r="F89" s="7" t="s">
        <v>16</v>
      </c>
      <c r="G89" s="7"/>
      <c r="H89" s="50"/>
    </row>
    <row r="90" spans="1:9" x14ac:dyDescent="0.55000000000000004">
      <c r="A90" s="41" t="s">
        <v>120</v>
      </c>
      <c r="B90" s="7">
        <v>58</v>
      </c>
      <c r="C90" s="7">
        <v>67</v>
      </c>
      <c r="D90" s="18" t="s">
        <v>17</v>
      </c>
      <c r="E90" s="7">
        <v>5</v>
      </c>
      <c r="F90" s="7" t="s">
        <v>16</v>
      </c>
      <c r="G90" s="7"/>
      <c r="H90" s="50"/>
    </row>
    <row r="91" spans="1:9" ht="14.7" thickBot="1" x14ac:dyDescent="0.6">
      <c r="A91" s="55" t="s">
        <v>121</v>
      </c>
      <c r="B91" s="12">
        <v>58</v>
      </c>
      <c r="C91" s="12">
        <v>72</v>
      </c>
      <c r="D91" s="17" t="s">
        <v>17</v>
      </c>
      <c r="E91" s="7">
        <v>5</v>
      </c>
      <c r="F91" s="12" t="s">
        <v>16</v>
      </c>
      <c r="G91" s="12">
        <v>750</v>
      </c>
      <c r="H91" s="58">
        <f>Tabla269161765[[#This Row],[Total cluster weight (g)]]/COUNTA(A87:A91)</f>
        <v>150</v>
      </c>
    </row>
    <row r="92" spans="1:9" x14ac:dyDescent="0.55000000000000004">
      <c r="A92" s="41" t="s">
        <v>122</v>
      </c>
      <c r="B92" s="10">
        <v>59</v>
      </c>
      <c r="C92" s="10">
        <v>68</v>
      </c>
      <c r="D92" s="18" t="s">
        <v>17</v>
      </c>
      <c r="E92" s="10">
        <v>6</v>
      </c>
      <c r="F92" s="10" t="s">
        <v>129</v>
      </c>
      <c r="G92" s="10"/>
      <c r="H92" s="54"/>
    </row>
    <row r="93" spans="1:9" x14ac:dyDescent="0.55000000000000004">
      <c r="A93" s="41" t="s">
        <v>123</v>
      </c>
      <c r="B93" s="7">
        <v>58</v>
      </c>
      <c r="C93" s="7">
        <v>67</v>
      </c>
      <c r="D93" s="18" t="s">
        <v>17</v>
      </c>
      <c r="E93" s="10">
        <v>6</v>
      </c>
      <c r="F93" s="7" t="s">
        <v>129</v>
      </c>
      <c r="G93" s="7"/>
      <c r="H93" s="50"/>
    </row>
    <row r="94" spans="1:9" x14ac:dyDescent="0.55000000000000004">
      <c r="A94" s="41" t="s">
        <v>124</v>
      </c>
      <c r="B94" s="7">
        <v>59</v>
      </c>
      <c r="C94" s="7">
        <v>68</v>
      </c>
      <c r="D94" s="18" t="s">
        <v>17</v>
      </c>
      <c r="E94" s="10">
        <v>6</v>
      </c>
      <c r="F94" s="7" t="s">
        <v>16</v>
      </c>
      <c r="G94" s="7"/>
      <c r="H94" s="50"/>
    </row>
    <row r="95" spans="1:9" ht="14.7" thickBot="1" x14ac:dyDescent="0.6">
      <c r="A95" s="55" t="s">
        <v>125</v>
      </c>
      <c r="B95" s="12">
        <v>58</v>
      </c>
      <c r="C95" s="12">
        <v>68</v>
      </c>
      <c r="D95" s="17" t="s">
        <v>17</v>
      </c>
      <c r="E95" s="10">
        <v>6</v>
      </c>
      <c r="F95" s="12" t="s">
        <v>16</v>
      </c>
      <c r="G95" s="12">
        <v>597</v>
      </c>
      <c r="H95" s="58">
        <f>Tabla269161765[[#This Row],[Total cluster weight (g)]]/COUNTA(A92:A95)</f>
        <v>149.25</v>
      </c>
    </row>
    <row r="96" spans="1:9" x14ac:dyDescent="0.55000000000000004">
      <c r="A96" s="4" t="s">
        <v>126</v>
      </c>
      <c r="B96" s="7">
        <v>56</v>
      </c>
      <c r="C96" s="7">
        <v>66</v>
      </c>
      <c r="D96" s="18" t="s">
        <v>17</v>
      </c>
      <c r="E96" s="7">
        <v>7</v>
      </c>
      <c r="F96" s="7" t="s">
        <v>15</v>
      </c>
      <c r="G96" s="7"/>
      <c r="H96" s="50"/>
    </row>
    <row r="97" spans="1:8" x14ac:dyDescent="0.55000000000000004">
      <c r="A97" s="6" t="s">
        <v>127</v>
      </c>
      <c r="B97" s="7">
        <v>59</v>
      </c>
      <c r="C97" s="7">
        <v>66</v>
      </c>
      <c r="D97" s="18" t="s">
        <v>17</v>
      </c>
      <c r="E97" s="7">
        <v>7</v>
      </c>
      <c r="F97" s="7" t="s">
        <v>15</v>
      </c>
      <c r="G97" s="7"/>
      <c r="H97" s="50"/>
    </row>
    <row r="98" spans="1:8" x14ac:dyDescent="0.55000000000000004">
      <c r="A98" s="8" t="s">
        <v>128</v>
      </c>
      <c r="B98" s="7">
        <v>58</v>
      </c>
      <c r="C98" s="7">
        <v>67</v>
      </c>
      <c r="D98" s="18" t="s">
        <v>17</v>
      </c>
      <c r="E98" s="7">
        <v>7</v>
      </c>
      <c r="F98" s="7" t="s">
        <v>15</v>
      </c>
      <c r="G98" s="7"/>
      <c r="H98" s="50"/>
    </row>
    <row r="99" spans="1:8" x14ac:dyDescent="0.55000000000000004">
      <c r="A99" s="9" t="s">
        <v>131</v>
      </c>
      <c r="B99" s="7">
        <v>57</v>
      </c>
      <c r="C99" s="7">
        <v>63</v>
      </c>
      <c r="D99" s="18" t="s">
        <v>17</v>
      </c>
      <c r="E99" s="7">
        <v>7</v>
      </c>
      <c r="F99" s="7" t="s">
        <v>15</v>
      </c>
      <c r="G99" s="7"/>
      <c r="H99" s="50"/>
    </row>
    <row r="100" spans="1:8" ht="14.7" thickBot="1" x14ac:dyDescent="0.6">
      <c r="A100" s="11" t="s">
        <v>132</v>
      </c>
      <c r="B100" s="12">
        <v>58</v>
      </c>
      <c r="C100" s="12">
        <v>67</v>
      </c>
      <c r="D100" s="16" t="s">
        <v>17</v>
      </c>
      <c r="E100" s="7">
        <v>7</v>
      </c>
      <c r="F100" s="12" t="s">
        <v>16</v>
      </c>
      <c r="G100" s="12">
        <v>689.5</v>
      </c>
      <c r="H100" s="58">
        <f>Tabla269161765[[#This Row],[Total cluster weight (g)]]/COUNTA(A96:A100)</f>
        <v>137.9</v>
      </c>
    </row>
    <row r="101" spans="1:8" x14ac:dyDescent="0.55000000000000004">
      <c r="A101" s="9" t="s">
        <v>133</v>
      </c>
      <c r="B101" s="10">
        <v>58</v>
      </c>
      <c r="C101" s="10">
        <v>64</v>
      </c>
      <c r="D101" s="18" t="s">
        <v>17</v>
      </c>
      <c r="E101" s="10">
        <v>8</v>
      </c>
      <c r="F101" s="10" t="s">
        <v>16</v>
      </c>
      <c r="G101" s="10"/>
      <c r="H101" s="54"/>
    </row>
    <row r="102" spans="1:8" x14ac:dyDescent="0.55000000000000004">
      <c r="A102" s="6" t="s">
        <v>134</v>
      </c>
      <c r="B102" s="7">
        <v>60</v>
      </c>
      <c r="C102" s="7">
        <v>66</v>
      </c>
      <c r="D102" s="18" t="s">
        <v>17</v>
      </c>
      <c r="E102" s="10">
        <v>8</v>
      </c>
      <c r="F102" s="7" t="s">
        <v>16</v>
      </c>
      <c r="G102" s="7"/>
      <c r="H102" s="50"/>
    </row>
    <row r="103" spans="1:8" x14ac:dyDescent="0.55000000000000004">
      <c r="A103" s="8" t="s">
        <v>135</v>
      </c>
      <c r="B103" s="7">
        <v>59</v>
      </c>
      <c r="C103" s="7">
        <v>65</v>
      </c>
      <c r="D103" s="18" t="s">
        <v>17</v>
      </c>
      <c r="E103" s="10">
        <v>8</v>
      </c>
      <c r="F103" s="7" t="s">
        <v>16</v>
      </c>
      <c r="G103" s="7"/>
      <c r="H103" s="50"/>
    </row>
    <row r="104" spans="1:8" x14ac:dyDescent="0.55000000000000004">
      <c r="A104" s="9" t="s">
        <v>136</v>
      </c>
      <c r="B104" s="7">
        <v>59</v>
      </c>
      <c r="C104" s="7">
        <v>66</v>
      </c>
      <c r="D104" s="18" t="s">
        <v>17</v>
      </c>
      <c r="E104" s="10">
        <v>8</v>
      </c>
      <c r="F104" s="7" t="s">
        <v>16</v>
      </c>
      <c r="G104" s="7"/>
      <c r="H104" s="50"/>
    </row>
    <row r="105" spans="1:8" ht="14.7" thickBot="1" x14ac:dyDescent="0.6">
      <c r="A105" s="11" t="s">
        <v>137</v>
      </c>
      <c r="B105" s="12">
        <v>58</v>
      </c>
      <c r="C105" s="12">
        <v>64</v>
      </c>
      <c r="D105" s="16" t="s">
        <v>17</v>
      </c>
      <c r="E105" s="10">
        <v>8</v>
      </c>
      <c r="F105" s="12" t="s">
        <v>16</v>
      </c>
      <c r="G105" s="12">
        <v>671</v>
      </c>
      <c r="H105" s="58">
        <f>Tabla269161765[[#This Row],[Total cluster weight (g)]]/COUNTA(A101:A105)</f>
        <v>134.19999999999999</v>
      </c>
    </row>
    <row r="106" spans="1:8" x14ac:dyDescent="0.55000000000000004">
      <c r="A106" s="4" t="s">
        <v>138</v>
      </c>
      <c r="B106" s="7">
        <v>59</v>
      </c>
      <c r="C106" s="7">
        <v>61</v>
      </c>
      <c r="D106" s="18" t="s">
        <v>17</v>
      </c>
      <c r="E106" s="7">
        <v>9</v>
      </c>
      <c r="F106" s="7" t="s">
        <v>23</v>
      </c>
      <c r="G106" s="7"/>
      <c r="H106" s="50"/>
    </row>
    <row r="107" spans="1:8" x14ac:dyDescent="0.55000000000000004">
      <c r="A107" s="6" t="s">
        <v>139</v>
      </c>
      <c r="B107" s="7">
        <v>60</v>
      </c>
      <c r="C107" s="7">
        <v>63</v>
      </c>
      <c r="D107" s="18" t="s">
        <v>17</v>
      </c>
      <c r="E107" s="7">
        <v>9</v>
      </c>
      <c r="F107" s="7" t="s">
        <v>23</v>
      </c>
      <c r="G107" s="7"/>
      <c r="H107" s="50"/>
    </row>
    <row r="108" spans="1:8" x14ac:dyDescent="0.55000000000000004">
      <c r="A108" s="8" t="s">
        <v>140</v>
      </c>
      <c r="B108" s="7">
        <v>59</v>
      </c>
      <c r="C108" s="7">
        <v>67</v>
      </c>
      <c r="D108" s="18" t="s">
        <v>17</v>
      </c>
      <c r="E108" s="7">
        <v>9</v>
      </c>
      <c r="F108" s="7" t="s">
        <v>15</v>
      </c>
      <c r="G108" s="7"/>
      <c r="H108" s="50"/>
    </row>
    <row r="109" spans="1:8" x14ac:dyDescent="0.55000000000000004">
      <c r="A109" s="9" t="s">
        <v>142</v>
      </c>
      <c r="B109" s="7">
        <v>59</v>
      </c>
      <c r="C109" s="7">
        <v>66</v>
      </c>
      <c r="D109" s="18" t="s">
        <v>17</v>
      </c>
      <c r="E109" s="7">
        <v>9</v>
      </c>
      <c r="F109" s="7" t="s">
        <v>15</v>
      </c>
      <c r="G109" s="7"/>
      <c r="H109" s="50"/>
    </row>
    <row r="110" spans="1:8" ht="14.7" thickBot="1" x14ac:dyDescent="0.6">
      <c r="A110" s="11" t="s">
        <v>143</v>
      </c>
      <c r="B110" s="12">
        <v>59</v>
      </c>
      <c r="C110" s="12">
        <v>65</v>
      </c>
      <c r="D110" s="16" t="s">
        <v>17</v>
      </c>
      <c r="E110" s="7">
        <v>9</v>
      </c>
      <c r="F110" s="12" t="s">
        <v>16</v>
      </c>
      <c r="G110" s="12">
        <v>633.5</v>
      </c>
      <c r="H110" s="58">
        <f>Tabla269161765[[#This Row],[Total cluster weight (g)]]/COUNTA(A106:A110)</f>
        <v>126.7</v>
      </c>
    </row>
    <row r="111" spans="1:8" x14ac:dyDescent="0.55000000000000004">
      <c r="A111" s="4" t="s">
        <v>169</v>
      </c>
      <c r="B111" s="7">
        <v>62</v>
      </c>
      <c r="C111" s="7">
        <v>67</v>
      </c>
      <c r="D111" s="18" t="s">
        <v>17</v>
      </c>
      <c r="E111" s="7">
        <v>10</v>
      </c>
      <c r="F111" s="7" t="s">
        <v>16</v>
      </c>
      <c r="G111" s="7"/>
      <c r="H111" s="50"/>
    </row>
    <row r="112" spans="1:8" x14ac:dyDescent="0.55000000000000004">
      <c r="A112" s="6" t="s">
        <v>159</v>
      </c>
      <c r="B112" s="7">
        <v>63</v>
      </c>
      <c r="C112" s="7">
        <v>72</v>
      </c>
      <c r="D112" s="18" t="s">
        <v>17</v>
      </c>
      <c r="E112" s="7">
        <v>10</v>
      </c>
      <c r="F112" s="7" t="s">
        <v>16</v>
      </c>
      <c r="G112" s="7"/>
      <c r="H112" s="50"/>
    </row>
    <row r="113" spans="1:8" x14ac:dyDescent="0.55000000000000004">
      <c r="A113" s="8" t="s">
        <v>170</v>
      </c>
      <c r="B113" s="7">
        <v>62</v>
      </c>
      <c r="C113" s="7">
        <v>66</v>
      </c>
      <c r="D113" s="18" t="s">
        <v>17</v>
      </c>
      <c r="E113" s="7">
        <v>10</v>
      </c>
      <c r="F113" s="7" t="s">
        <v>16</v>
      </c>
      <c r="G113" s="7"/>
      <c r="H113" s="50"/>
    </row>
    <row r="114" spans="1:8" x14ac:dyDescent="0.55000000000000004">
      <c r="A114" s="9" t="s">
        <v>148</v>
      </c>
      <c r="B114" s="7">
        <v>63</v>
      </c>
      <c r="C114" s="7">
        <v>68</v>
      </c>
      <c r="D114" s="18" t="s">
        <v>17</v>
      </c>
      <c r="E114" s="7">
        <v>10</v>
      </c>
      <c r="F114" s="7" t="s">
        <v>16</v>
      </c>
      <c r="G114" s="7"/>
      <c r="H114" s="50"/>
    </row>
    <row r="115" spans="1:8" ht="14.7" thickBot="1" x14ac:dyDescent="0.6">
      <c r="A115" s="11" t="s">
        <v>149</v>
      </c>
      <c r="B115" s="12">
        <v>60</v>
      </c>
      <c r="C115" s="12">
        <v>62</v>
      </c>
      <c r="D115" s="16" t="s">
        <v>17</v>
      </c>
      <c r="E115" s="7">
        <v>10</v>
      </c>
      <c r="F115" s="12" t="s">
        <v>16</v>
      </c>
      <c r="G115" s="12">
        <v>741</v>
      </c>
      <c r="H115" s="58">
        <f>Tabla269161765[[#This Row],[Total cluster weight (g)]]/COUNTA(A111:A115)</f>
        <v>148.19999999999999</v>
      </c>
    </row>
    <row r="116" spans="1:8" x14ac:dyDescent="0.55000000000000004">
      <c r="A116" s="4" t="s">
        <v>150</v>
      </c>
      <c r="B116" s="7">
        <v>64</v>
      </c>
      <c r="C116" s="7">
        <v>70</v>
      </c>
      <c r="D116" s="18" t="s">
        <v>17</v>
      </c>
      <c r="E116" s="7">
        <v>11</v>
      </c>
      <c r="F116" s="7" t="s">
        <v>16</v>
      </c>
      <c r="G116" s="7"/>
      <c r="H116" s="50"/>
    </row>
    <row r="117" spans="1:8" x14ac:dyDescent="0.55000000000000004">
      <c r="A117" s="6" t="s">
        <v>151</v>
      </c>
      <c r="B117" s="7">
        <v>63</v>
      </c>
      <c r="C117" s="7">
        <v>68</v>
      </c>
      <c r="D117" s="18" t="s">
        <v>17</v>
      </c>
      <c r="E117" s="7">
        <v>11</v>
      </c>
      <c r="F117" s="7" t="s">
        <v>16</v>
      </c>
      <c r="G117" s="7"/>
      <c r="H117" s="50"/>
    </row>
    <row r="118" spans="1:8" x14ac:dyDescent="0.55000000000000004">
      <c r="A118" s="8" t="s">
        <v>152</v>
      </c>
      <c r="B118" s="7">
        <v>61</v>
      </c>
      <c r="C118" s="7">
        <v>62</v>
      </c>
      <c r="D118" s="18" t="s">
        <v>17</v>
      </c>
      <c r="E118" s="7">
        <v>11</v>
      </c>
      <c r="F118" s="7" t="s">
        <v>16</v>
      </c>
      <c r="G118" s="7"/>
      <c r="H118" s="50"/>
    </row>
    <row r="119" spans="1:8" ht="14.7" thickBot="1" x14ac:dyDescent="0.6">
      <c r="A119" s="11" t="s">
        <v>153</v>
      </c>
      <c r="B119" s="12">
        <v>60</v>
      </c>
      <c r="C119" s="12">
        <v>74</v>
      </c>
      <c r="D119" s="16" t="s">
        <v>17</v>
      </c>
      <c r="E119" s="7">
        <v>11</v>
      </c>
      <c r="F119" s="12" t="s">
        <v>16</v>
      </c>
      <c r="G119" s="12">
        <v>610</v>
      </c>
      <c r="H119" s="58">
        <f>Tabla269161765[[#This Row],[Total cluster weight (g)]]/COUNTA(A116:A119)</f>
        <v>152.5</v>
      </c>
    </row>
    <row r="120" spans="1:8" x14ac:dyDescent="0.55000000000000004">
      <c r="A120" s="4" t="s">
        <v>154</v>
      </c>
      <c r="B120" s="7">
        <v>56</v>
      </c>
      <c r="C120" s="7">
        <v>56</v>
      </c>
      <c r="D120" s="111" t="s">
        <v>17</v>
      </c>
      <c r="E120" s="7">
        <v>12</v>
      </c>
      <c r="F120" s="7" t="s">
        <v>23</v>
      </c>
      <c r="G120" s="7"/>
      <c r="H120" s="50"/>
    </row>
    <row r="121" spans="1:8" x14ac:dyDescent="0.55000000000000004">
      <c r="A121" s="6" t="s">
        <v>164</v>
      </c>
      <c r="B121" s="7">
        <v>59</v>
      </c>
      <c r="C121" s="7">
        <v>61</v>
      </c>
      <c r="D121" s="111" t="s">
        <v>17</v>
      </c>
      <c r="E121" s="7">
        <v>12</v>
      </c>
      <c r="F121" s="7" t="s">
        <v>15</v>
      </c>
      <c r="G121" s="7"/>
      <c r="H121" s="50"/>
    </row>
    <row r="122" spans="1:8" x14ac:dyDescent="0.55000000000000004">
      <c r="A122" s="8" t="s">
        <v>165</v>
      </c>
      <c r="B122" s="7">
        <v>58</v>
      </c>
      <c r="C122" s="7">
        <v>60</v>
      </c>
      <c r="D122" s="111" t="s">
        <v>17</v>
      </c>
      <c r="E122" s="7">
        <v>12</v>
      </c>
      <c r="F122" s="7" t="s">
        <v>16</v>
      </c>
      <c r="G122" s="7"/>
      <c r="H122" s="50"/>
    </row>
    <row r="123" spans="1:8" x14ac:dyDescent="0.55000000000000004">
      <c r="A123" s="9" t="s">
        <v>185</v>
      </c>
      <c r="B123" s="7">
        <v>59</v>
      </c>
      <c r="C123" s="7">
        <v>67</v>
      </c>
      <c r="D123" s="111" t="s">
        <v>17</v>
      </c>
      <c r="E123" s="7">
        <v>12</v>
      </c>
      <c r="F123" s="7" t="s">
        <v>16</v>
      </c>
      <c r="G123" s="7"/>
      <c r="H123" s="50"/>
    </row>
    <row r="124" spans="1:8" x14ac:dyDescent="0.55000000000000004">
      <c r="A124" s="8" t="s">
        <v>186</v>
      </c>
      <c r="B124" s="7">
        <v>58</v>
      </c>
      <c r="C124" s="7">
        <v>61</v>
      </c>
      <c r="D124" s="111" t="s">
        <v>17</v>
      </c>
      <c r="E124" s="7">
        <v>12</v>
      </c>
      <c r="F124" s="7" t="s">
        <v>16</v>
      </c>
      <c r="G124" s="7"/>
      <c r="H124" s="50"/>
    </row>
    <row r="125" spans="1:8" ht="14.7" thickBot="1" x14ac:dyDescent="0.6">
      <c r="A125" s="11" t="s">
        <v>187</v>
      </c>
      <c r="B125" s="12">
        <v>62</v>
      </c>
      <c r="C125" s="12">
        <v>66</v>
      </c>
      <c r="D125" s="109" t="s">
        <v>17</v>
      </c>
      <c r="E125" s="7">
        <v>12</v>
      </c>
      <c r="F125" s="12" t="s">
        <v>16</v>
      </c>
      <c r="G125" s="12">
        <v>740</v>
      </c>
      <c r="H125" s="58">
        <f>Tabla269161765[[#This Row],[Total cluster weight (g)]]/COUNTA(A120:A125)</f>
        <v>123.33333333333333</v>
      </c>
    </row>
    <row r="126" spans="1:8" x14ac:dyDescent="0.55000000000000004">
      <c r="A126" s="19"/>
      <c r="B126" s="20"/>
      <c r="C126" s="2"/>
      <c r="D126" s="21"/>
      <c r="E126" s="2"/>
      <c r="F126" s="2"/>
      <c r="G126" s="2"/>
    </row>
    <row r="127" spans="1:8" x14ac:dyDescent="0.55000000000000004">
      <c r="A127" s="39" t="s">
        <v>54</v>
      </c>
      <c r="B127" s="35" t="s">
        <v>44</v>
      </c>
      <c r="C127" s="35" t="s">
        <v>45</v>
      </c>
      <c r="D127" s="35" t="s">
        <v>46</v>
      </c>
      <c r="E127" s="35" t="s">
        <v>47</v>
      </c>
      <c r="F127" s="36" t="s">
        <v>56</v>
      </c>
      <c r="G127" s="60" t="s">
        <v>72</v>
      </c>
    </row>
    <row r="128" spans="1:8" x14ac:dyDescent="0.55000000000000004">
      <c r="A128" s="40" t="s">
        <v>48</v>
      </c>
      <c r="B128" s="37">
        <f>AVERAGE(Tabla269161765[Height (mm)])</f>
        <v>58.516666666666666</v>
      </c>
      <c r="C128" s="37">
        <f>AVERAGE(Tabla269161765[Width (mm)])</f>
        <v>65.733333333333334</v>
      </c>
      <c r="D128" s="37">
        <f>MAX(Tabla269161765[[Cluster number ]])</f>
        <v>12</v>
      </c>
      <c r="E128" s="37">
        <f>AVERAGE(Tabla269161765[Tomato average weight per cluster])</f>
        <v>139.83055555555555</v>
      </c>
      <c r="F128" s="38">
        <f>COUNTA(Tabla269161765["C14" PLANT])</f>
        <v>60</v>
      </c>
      <c r="G128" s="59">
        <f>SUM(Tabla269161765[Total cluster weight (g)])</f>
        <v>8360.5</v>
      </c>
    </row>
    <row r="130" spans="1:8" x14ac:dyDescent="0.55000000000000004">
      <c r="A130" s="3" t="s">
        <v>10</v>
      </c>
      <c r="B130" t="s">
        <v>2</v>
      </c>
      <c r="C130" t="s">
        <v>3</v>
      </c>
      <c r="D130" t="s">
        <v>4</v>
      </c>
      <c r="E130" t="s">
        <v>5</v>
      </c>
      <c r="F130" t="s">
        <v>6</v>
      </c>
      <c r="G130" t="s">
        <v>7</v>
      </c>
      <c r="H130" t="s">
        <v>43</v>
      </c>
    </row>
    <row r="131" spans="1:8" x14ac:dyDescent="0.55000000000000004">
      <c r="A131" s="41" t="s">
        <v>103</v>
      </c>
      <c r="B131" s="7">
        <v>50</v>
      </c>
      <c r="C131" s="7">
        <v>60</v>
      </c>
      <c r="D131" s="14" t="s">
        <v>17</v>
      </c>
      <c r="E131" s="7">
        <v>1</v>
      </c>
      <c r="F131" s="7" t="s">
        <v>15</v>
      </c>
      <c r="G131" s="7"/>
      <c r="H131" s="50"/>
    </row>
    <row r="132" spans="1:8" x14ac:dyDescent="0.55000000000000004">
      <c r="A132" s="41" t="s">
        <v>96</v>
      </c>
      <c r="B132" s="7">
        <v>51</v>
      </c>
      <c r="C132" s="7">
        <v>59</v>
      </c>
      <c r="D132" s="14" t="s">
        <v>17</v>
      </c>
      <c r="E132" s="7">
        <v>1</v>
      </c>
      <c r="F132" s="7" t="s">
        <v>16</v>
      </c>
      <c r="G132" s="7"/>
      <c r="H132" s="50"/>
    </row>
    <row r="133" spans="1:8" x14ac:dyDescent="0.55000000000000004">
      <c r="A133" s="41" t="s">
        <v>104</v>
      </c>
      <c r="B133" s="7">
        <v>55</v>
      </c>
      <c r="C133" s="7">
        <v>65</v>
      </c>
      <c r="D133" s="14" t="s">
        <v>17</v>
      </c>
      <c r="E133" s="7">
        <v>1</v>
      </c>
      <c r="F133" s="7" t="s">
        <v>16</v>
      </c>
      <c r="G133" s="7"/>
      <c r="H133" s="50"/>
    </row>
    <row r="134" spans="1:8" x14ac:dyDescent="0.55000000000000004">
      <c r="A134" s="41" t="s">
        <v>94</v>
      </c>
      <c r="B134" s="7">
        <v>53</v>
      </c>
      <c r="C134" s="7">
        <v>61</v>
      </c>
      <c r="D134" s="14" t="s">
        <v>17</v>
      </c>
      <c r="E134" s="7">
        <v>1</v>
      </c>
      <c r="F134" s="7" t="s">
        <v>16</v>
      </c>
      <c r="G134" s="7"/>
      <c r="H134" s="50"/>
    </row>
    <row r="135" spans="1:8" ht="14.7" thickBot="1" x14ac:dyDescent="0.6">
      <c r="A135" s="55" t="s">
        <v>95</v>
      </c>
      <c r="B135" s="12">
        <v>54</v>
      </c>
      <c r="C135" s="12">
        <v>71</v>
      </c>
      <c r="D135" s="16" t="s">
        <v>17</v>
      </c>
      <c r="E135" s="7">
        <v>1</v>
      </c>
      <c r="F135" s="12" t="s">
        <v>16</v>
      </c>
      <c r="G135" s="12">
        <v>567</v>
      </c>
      <c r="H135" s="58">
        <f>Tabla269161866[[#This Row],[Total cluster weight (g)]]/COUNTA(A131:A135)</f>
        <v>113.4</v>
      </c>
    </row>
    <row r="136" spans="1:8" x14ac:dyDescent="0.55000000000000004">
      <c r="A136" s="41" t="s">
        <v>107</v>
      </c>
      <c r="B136" s="7">
        <v>51</v>
      </c>
      <c r="C136" s="7">
        <v>62</v>
      </c>
      <c r="D136" s="100" t="s">
        <v>17</v>
      </c>
      <c r="E136" s="7">
        <v>2</v>
      </c>
      <c r="F136" s="7" t="s">
        <v>15</v>
      </c>
      <c r="G136" s="7"/>
      <c r="H136" s="50"/>
    </row>
    <row r="137" spans="1:8" x14ac:dyDescent="0.55000000000000004">
      <c r="A137" s="41" t="s">
        <v>108</v>
      </c>
      <c r="B137" s="7">
        <v>52</v>
      </c>
      <c r="C137" s="7">
        <v>61</v>
      </c>
      <c r="D137" s="100" t="s">
        <v>17</v>
      </c>
      <c r="E137" s="7">
        <v>2</v>
      </c>
      <c r="F137" s="7" t="s">
        <v>15</v>
      </c>
      <c r="G137" s="7"/>
      <c r="H137" s="50"/>
    </row>
    <row r="138" spans="1:8" x14ac:dyDescent="0.55000000000000004">
      <c r="A138" s="41" t="s">
        <v>109</v>
      </c>
      <c r="B138" s="7">
        <v>51</v>
      </c>
      <c r="C138" s="7">
        <v>64</v>
      </c>
      <c r="D138" s="100" t="s">
        <v>17</v>
      </c>
      <c r="E138" s="7">
        <v>2</v>
      </c>
      <c r="F138" s="7" t="s">
        <v>15</v>
      </c>
      <c r="G138" s="7"/>
      <c r="H138" s="50"/>
    </row>
    <row r="139" spans="1:8" x14ac:dyDescent="0.55000000000000004">
      <c r="A139" s="41" t="s">
        <v>110</v>
      </c>
      <c r="B139" s="7">
        <v>54</v>
      </c>
      <c r="C139" s="7">
        <v>64</v>
      </c>
      <c r="D139" s="100" t="s">
        <v>17</v>
      </c>
      <c r="E139" s="7">
        <v>2</v>
      </c>
      <c r="F139" s="7" t="s">
        <v>15</v>
      </c>
      <c r="G139" s="7"/>
      <c r="H139" s="50"/>
    </row>
    <row r="140" spans="1:8" ht="14.7" thickBot="1" x14ac:dyDescent="0.6">
      <c r="A140" s="55" t="s">
        <v>111</v>
      </c>
      <c r="B140" s="12">
        <v>50</v>
      </c>
      <c r="C140" s="12">
        <v>60</v>
      </c>
      <c r="D140" s="102" t="s">
        <v>17</v>
      </c>
      <c r="E140" s="7">
        <v>2</v>
      </c>
      <c r="F140" s="12" t="s">
        <v>15</v>
      </c>
      <c r="G140" s="12">
        <v>548.5</v>
      </c>
      <c r="H140" s="58">
        <f>Tabla269161866[[#This Row],[Total cluster weight (g)]]/COUNTA(A136:A140)</f>
        <v>109.7</v>
      </c>
    </row>
    <row r="141" spans="1:8" x14ac:dyDescent="0.55000000000000004">
      <c r="A141" s="41" t="s">
        <v>119</v>
      </c>
      <c r="B141" s="10">
        <v>50</v>
      </c>
      <c r="C141" s="10">
        <v>54</v>
      </c>
      <c r="D141" s="101" t="s">
        <v>17</v>
      </c>
      <c r="E141" s="10">
        <v>3</v>
      </c>
      <c r="F141" s="10" t="s">
        <v>15</v>
      </c>
      <c r="G141" s="10"/>
      <c r="H141" s="54"/>
    </row>
    <row r="142" spans="1:8" x14ac:dyDescent="0.55000000000000004">
      <c r="A142" s="41" t="s">
        <v>120</v>
      </c>
      <c r="B142" s="7">
        <v>50</v>
      </c>
      <c r="C142" s="7">
        <v>56</v>
      </c>
      <c r="D142" s="100" t="s">
        <v>17</v>
      </c>
      <c r="E142" s="10">
        <v>3</v>
      </c>
      <c r="F142" s="7" t="s">
        <v>15</v>
      </c>
      <c r="G142" s="7"/>
      <c r="H142" s="50"/>
    </row>
    <row r="143" spans="1:8" x14ac:dyDescent="0.55000000000000004">
      <c r="A143" s="41" t="s">
        <v>121</v>
      </c>
      <c r="B143" s="7">
        <v>50</v>
      </c>
      <c r="C143" s="7">
        <v>63</v>
      </c>
      <c r="D143" s="100" t="s">
        <v>17</v>
      </c>
      <c r="E143" s="10">
        <v>3</v>
      </c>
      <c r="F143" s="7" t="s">
        <v>16</v>
      </c>
      <c r="G143" s="7"/>
      <c r="H143" s="50"/>
    </row>
    <row r="144" spans="1:8" x14ac:dyDescent="0.55000000000000004">
      <c r="A144" s="41" t="s">
        <v>122</v>
      </c>
      <c r="B144" s="7">
        <v>54</v>
      </c>
      <c r="C144" s="7">
        <v>65</v>
      </c>
      <c r="D144" s="100" t="s">
        <v>17</v>
      </c>
      <c r="E144" s="10">
        <v>3</v>
      </c>
      <c r="F144" s="7" t="s">
        <v>16</v>
      </c>
      <c r="G144" s="7"/>
      <c r="H144" s="50"/>
    </row>
    <row r="145" spans="1:9" ht="14.7" thickBot="1" x14ac:dyDescent="0.6">
      <c r="A145" s="55" t="s">
        <v>123</v>
      </c>
      <c r="B145" s="12">
        <v>53</v>
      </c>
      <c r="C145" s="12">
        <v>64</v>
      </c>
      <c r="D145" s="102" t="s">
        <v>17</v>
      </c>
      <c r="E145" s="10">
        <v>3</v>
      </c>
      <c r="F145" s="12" t="s">
        <v>16</v>
      </c>
      <c r="G145" s="12">
        <v>500.5</v>
      </c>
      <c r="H145" s="58">
        <f>Tabla269161866[[#This Row],[Total cluster weight (g)]]/COUNTA(A141:A145)</f>
        <v>100.1</v>
      </c>
    </row>
    <row r="146" spans="1:9" x14ac:dyDescent="0.55000000000000004">
      <c r="A146" s="41" t="s">
        <v>124</v>
      </c>
      <c r="B146" s="7">
        <v>54</v>
      </c>
      <c r="C146" s="7">
        <v>62</v>
      </c>
      <c r="D146" s="14" t="s">
        <v>17</v>
      </c>
      <c r="E146" s="7">
        <v>4</v>
      </c>
      <c r="F146" s="7" t="s">
        <v>130</v>
      </c>
      <c r="G146" s="7"/>
      <c r="H146" s="50"/>
      <c r="I146" s="77"/>
    </row>
    <row r="147" spans="1:9" x14ac:dyDescent="0.55000000000000004">
      <c r="A147" s="41" t="s">
        <v>125</v>
      </c>
      <c r="B147" s="7">
        <v>55</v>
      </c>
      <c r="C147" s="7">
        <v>67</v>
      </c>
      <c r="D147" s="14" t="s">
        <v>17</v>
      </c>
      <c r="E147" s="7">
        <v>4</v>
      </c>
      <c r="F147" s="7" t="s">
        <v>129</v>
      </c>
      <c r="G147" s="7"/>
      <c r="H147" s="50"/>
    </row>
    <row r="148" spans="1:9" x14ac:dyDescent="0.55000000000000004">
      <c r="A148" s="41" t="s">
        <v>126</v>
      </c>
      <c r="B148" s="7">
        <v>55</v>
      </c>
      <c r="C148" s="7">
        <v>64</v>
      </c>
      <c r="D148" s="14" t="s">
        <v>17</v>
      </c>
      <c r="E148" s="7">
        <v>4</v>
      </c>
      <c r="F148" s="7" t="s">
        <v>129</v>
      </c>
      <c r="G148" s="7"/>
      <c r="H148" s="50"/>
    </row>
    <row r="149" spans="1:9" x14ac:dyDescent="0.55000000000000004">
      <c r="A149" s="41" t="s">
        <v>127</v>
      </c>
      <c r="B149" s="7">
        <v>55</v>
      </c>
      <c r="C149" s="7">
        <v>63</v>
      </c>
      <c r="D149" s="14" t="s">
        <v>17</v>
      </c>
      <c r="E149" s="7">
        <v>4</v>
      </c>
      <c r="F149" s="7" t="s">
        <v>129</v>
      </c>
      <c r="G149" s="7"/>
      <c r="H149" s="50"/>
    </row>
    <row r="150" spans="1:9" ht="14.7" thickBot="1" x14ac:dyDescent="0.6">
      <c r="A150" s="55" t="s">
        <v>128</v>
      </c>
      <c r="B150" s="12">
        <v>53</v>
      </c>
      <c r="C150" s="12">
        <v>63</v>
      </c>
      <c r="D150" s="16" t="s">
        <v>17</v>
      </c>
      <c r="E150" s="7">
        <v>4</v>
      </c>
      <c r="F150" s="12" t="s">
        <v>129</v>
      </c>
      <c r="G150" s="12">
        <v>625.5</v>
      </c>
      <c r="H150" s="58">
        <f>Tabla269161866[[#This Row],[Total cluster weight (g)]]/COUNTA(A146:A150)</f>
        <v>125.1</v>
      </c>
    </row>
    <row r="151" spans="1:9" x14ac:dyDescent="0.55000000000000004">
      <c r="A151" s="41" t="s">
        <v>131</v>
      </c>
      <c r="B151" s="10">
        <v>53</v>
      </c>
      <c r="C151" s="10">
        <v>62</v>
      </c>
      <c r="D151" s="18" t="s">
        <v>17</v>
      </c>
      <c r="E151" s="10">
        <v>5</v>
      </c>
      <c r="F151" s="10" t="s">
        <v>16</v>
      </c>
      <c r="G151" s="10"/>
      <c r="H151" s="54"/>
    </row>
    <row r="152" spans="1:9" x14ac:dyDescent="0.55000000000000004">
      <c r="A152" s="41" t="s">
        <v>132</v>
      </c>
      <c r="B152" s="7">
        <v>53</v>
      </c>
      <c r="C152" s="7">
        <v>65</v>
      </c>
      <c r="D152" s="14" t="s">
        <v>17</v>
      </c>
      <c r="E152" s="10">
        <v>5</v>
      </c>
      <c r="F152" s="7" t="s">
        <v>16</v>
      </c>
      <c r="G152" s="7"/>
      <c r="H152" s="50"/>
    </row>
    <row r="153" spans="1:9" x14ac:dyDescent="0.55000000000000004">
      <c r="A153" s="41" t="s">
        <v>133</v>
      </c>
      <c r="B153" s="7">
        <v>53</v>
      </c>
      <c r="C153" s="7">
        <v>64</v>
      </c>
      <c r="D153" s="14" t="s">
        <v>17</v>
      </c>
      <c r="E153" s="10">
        <v>5</v>
      </c>
      <c r="F153" s="7" t="s">
        <v>16</v>
      </c>
      <c r="G153" s="7"/>
      <c r="H153" s="50"/>
    </row>
    <row r="154" spans="1:9" x14ac:dyDescent="0.55000000000000004">
      <c r="A154" s="41" t="s">
        <v>134</v>
      </c>
      <c r="B154" s="7">
        <v>53</v>
      </c>
      <c r="C154" s="7">
        <v>63</v>
      </c>
      <c r="D154" s="14" t="s">
        <v>17</v>
      </c>
      <c r="E154" s="10">
        <v>5</v>
      </c>
      <c r="F154" s="7" t="s">
        <v>16</v>
      </c>
      <c r="G154" s="7"/>
      <c r="H154" s="50"/>
    </row>
    <row r="155" spans="1:9" ht="14.7" thickBot="1" x14ac:dyDescent="0.6">
      <c r="A155" s="55" t="s">
        <v>135</v>
      </c>
      <c r="B155" s="12">
        <v>52</v>
      </c>
      <c r="C155" s="12">
        <v>62</v>
      </c>
      <c r="D155" s="16" t="s">
        <v>17</v>
      </c>
      <c r="E155" s="10">
        <v>5</v>
      </c>
      <c r="F155" s="12" t="s">
        <v>16</v>
      </c>
      <c r="G155" s="12">
        <v>613</v>
      </c>
      <c r="H155" s="58">
        <f>Tabla269161866[[#This Row],[Total cluster weight (g)]]/COUNTA(A151:A155)</f>
        <v>122.6</v>
      </c>
    </row>
    <row r="156" spans="1:9" x14ac:dyDescent="0.55000000000000004">
      <c r="A156" s="41" t="s">
        <v>136</v>
      </c>
      <c r="B156" s="7">
        <v>50</v>
      </c>
      <c r="C156" s="7">
        <v>63</v>
      </c>
      <c r="D156" s="14" t="s">
        <v>17</v>
      </c>
      <c r="E156" s="7">
        <v>6</v>
      </c>
      <c r="F156" s="7" t="s">
        <v>141</v>
      </c>
      <c r="G156" s="7"/>
      <c r="H156" s="50"/>
    </row>
    <row r="157" spans="1:9" x14ac:dyDescent="0.55000000000000004">
      <c r="A157" s="41" t="s">
        <v>137</v>
      </c>
      <c r="B157" s="7">
        <v>56</v>
      </c>
      <c r="C157" s="7">
        <v>64</v>
      </c>
      <c r="D157" s="14" t="s">
        <v>17</v>
      </c>
      <c r="E157" s="7">
        <v>6</v>
      </c>
      <c r="F157" s="7" t="s">
        <v>141</v>
      </c>
      <c r="G157" s="7"/>
      <c r="H157" s="50"/>
    </row>
    <row r="158" spans="1:9" x14ac:dyDescent="0.55000000000000004">
      <c r="A158" s="41" t="s">
        <v>138</v>
      </c>
      <c r="B158" s="7">
        <v>55</v>
      </c>
      <c r="C158" s="7">
        <v>68</v>
      </c>
      <c r="D158" s="14" t="s">
        <v>17</v>
      </c>
      <c r="E158" s="7">
        <v>6</v>
      </c>
      <c r="F158" s="7" t="s">
        <v>16</v>
      </c>
      <c r="G158" s="7"/>
      <c r="H158" s="50"/>
    </row>
    <row r="159" spans="1:9" x14ac:dyDescent="0.55000000000000004">
      <c r="A159" s="41" t="s">
        <v>139</v>
      </c>
      <c r="B159" s="7">
        <v>54</v>
      </c>
      <c r="C159" s="7">
        <v>67</v>
      </c>
      <c r="D159" s="14" t="s">
        <v>17</v>
      </c>
      <c r="E159" s="7">
        <v>6</v>
      </c>
      <c r="F159" s="7" t="s">
        <v>16</v>
      </c>
      <c r="G159" s="7"/>
      <c r="H159" s="50"/>
    </row>
    <row r="160" spans="1:9" ht="14.7" thickBot="1" x14ac:dyDescent="0.6">
      <c r="A160" s="55" t="s">
        <v>140</v>
      </c>
      <c r="B160" s="12">
        <v>56</v>
      </c>
      <c r="C160" s="12">
        <v>67</v>
      </c>
      <c r="D160" s="16" t="s">
        <v>17</v>
      </c>
      <c r="E160" s="7">
        <v>6</v>
      </c>
      <c r="F160" s="12" t="s">
        <v>16</v>
      </c>
      <c r="G160" s="12">
        <v>648.5</v>
      </c>
      <c r="H160" s="58">
        <f>Tabla269161866[[#This Row],[Total cluster weight (g)]]/COUNTA(A156:A160)</f>
        <v>129.69999999999999</v>
      </c>
    </row>
    <row r="161" spans="1:8" x14ac:dyDescent="0.55000000000000004">
      <c r="A161" s="41" t="s">
        <v>142</v>
      </c>
      <c r="B161" s="7">
        <v>56</v>
      </c>
      <c r="C161" s="7">
        <v>62</v>
      </c>
      <c r="D161" s="14" t="s">
        <v>17</v>
      </c>
      <c r="E161" s="7">
        <v>7</v>
      </c>
      <c r="F161" s="7" t="s">
        <v>15</v>
      </c>
      <c r="G161" s="7"/>
      <c r="H161" s="50"/>
    </row>
    <row r="162" spans="1:8" x14ac:dyDescent="0.55000000000000004">
      <c r="A162" s="41" t="s">
        <v>143</v>
      </c>
      <c r="B162" s="7">
        <v>56</v>
      </c>
      <c r="C162" s="7">
        <v>62</v>
      </c>
      <c r="D162" s="14" t="s">
        <v>17</v>
      </c>
      <c r="E162" s="7">
        <v>7</v>
      </c>
      <c r="F162" s="7" t="s">
        <v>16</v>
      </c>
      <c r="G162" s="7"/>
      <c r="H162" s="50"/>
    </row>
    <row r="163" spans="1:8" x14ac:dyDescent="0.55000000000000004">
      <c r="A163" s="41" t="s">
        <v>144</v>
      </c>
      <c r="B163" s="7">
        <v>55</v>
      </c>
      <c r="C163" s="7">
        <v>63</v>
      </c>
      <c r="D163" s="14" t="s">
        <v>17</v>
      </c>
      <c r="E163" s="7">
        <v>7</v>
      </c>
      <c r="F163" s="7" t="s">
        <v>16</v>
      </c>
      <c r="G163" s="7"/>
      <c r="H163" s="50"/>
    </row>
    <row r="164" spans="1:8" ht="14.7" thickBot="1" x14ac:dyDescent="0.6">
      <c r="A164" s="55" t="s">
        <v>145</v>
      </c>
      <c r="B164" s="12">
        <v>56</v>
      </c>
      <c r="C164" s="12">
        <v>69</v>
      </c>
      <c r="D164" s="16" t="s">
        <v>17</v>
      </c>
      <c r="E164" s="7">
        <v>7</v>
      </c>
      <c r="F164" s="12" t="s">
        <v>16</v>
      </c>
      <c r="G164" s="12">
        <v>501</v>
      </c>
      <c r="H164" s="58">
        <f>Tabla269161866[[#This Row],[Total cluster weight (g)]]/COUNTA(A161:A164)</f>
        <v>125.25</v>
      </c>
    </row>
    <row r="165" spans="1:8" x14ac:dyDescent="0.55000000000000004">
      <c r="A165" s="4" t="s">
        <v>146</v>
      </c>
      <c r="B165" s="7">
        <v>55</v>
      </c>
      <c r="C165" s="7">
        <v>64</v>
      </c>
      <c r="D165" s="14" t="s">
        <v>17</v>
      </c>
      <c r="E165" s="7">
        <v>8</v>
      </c>
      <c r="F165" s="7" t="s">
        <v>16</v>
      </c>
      <c r="G165" s="7"/>
      <c r="H165" s="50"/>
    </row>
    <row r="166" spans="1:8" x14ac:dyDescent="0.55000000000000004">
      <c r="A166" s="6" t="s">
        <v>148</v>
      </c>
      <c r="B166" s="7">
        <v>55</v>
      </c>
      <c r="C166" s="7">
        <v>65</v>
      </c>
      <c r="D166" s="14" t="s">
        <v>17</v>
      </c>
      <c r="E166" s="7">
        <v>8</v>
      </c>
      <c r="F166" s="7" t="s">
        <v>16</v>
      </c>
      <c r="G166" s="7"/>
      <c r="H166" s="50"/>
    </row>
    <row r="167" spans="1:8" x14ac:dyDescent="0.55000000000000004">
      <c r="A167" s="8" t="s">
        <v>149</v>
      </c>
      <c r="B167" s="7">
        <v>54</v>
      </c>
      <c r="C167" s="7">
        <v>62</v>
      </c>
      <c r="D167" s="14" t="s">
        <v>17</v>
      </c>
      <c r="E167" s="7">
        <v>8</v>
      </c>
      <c r="F167" s="7" t="s">
        <v>16</v>
      </c>
      <c r="G167" s="7"/>
      <c r="H167" s="50"/>
    </row>
    <row r="168" spans="1:8" x14ac:dyDescent="0.55000000000000004">
      <c r="A168" s="9" t="s">
        <v>150</v>
      </c>
      <c r="B168" s="7">
        <v>55</v>
      </c>
      <c r="C168" s="7">
        <v>61</v>
      </c>
      <c r="D168" s="14" t="s">
        <v>17</v>
      </c>
      <c r="E168" s="7">
        <v>8</v>
      </c>
      <c r="F168" s="7" t="s">
        <v>16</v>
      </c>
      <c r="G168" s="7"/>
      <c r="H168" s="50"/>
    </row>
    <row r="169" spans="1:8" ht="14.7" thickBot="1" x14ac:dyDescent="0.6">
      <c r="A169" s="11" t="s">
        <v>151</v>
      </c>
      <c r="B169" s="12">
        <v>57</v>
      </c>
      <c r="C169" s="12">
        <v>62</v>
      </c>
      <c r="D169" s="16" t="s">
        <v>17</v>
      </c>
      <c r="E169" s="7">
        <v>8</v>
      </c>
      <c r="F169" s="12" t="s">
        <v>16</v>
      </c>
      <c r="G169" s="12">
        <v>590.5</v>
      </c>
      <c r="H169" s="58">
        <f>Tabla269161866[[#This Row],[Total cluster weight (g)]]/COUNTA(A165:A169)</f>
        <v>118.1</v>
      </c>
    </row>
    <row r="170" spans="1:8" x14ac:dyDescent="0.55000000000000004">
      <c r="A170" s="4" t="s">
        <v>179</v>
      </c>
      <c r="B170" s="7">
        <v>56</v>
      </c>
      <c r="C170" s="7">
        <v>64</v>
      </c>
      <c r="D170" s="14" t="s">
        <v>17</v>
      </c>
      <c r="E170" s="7">
        <v>9</v>
      </c>
      <c r="F170" s="7" t="s">
        <v>15</v>
      </c>
      <c r="G170" s="7"/>
      <c r="H170" s="50"/>
    </row>
    <row r="171" spans="1:8" x14ac:dyDescent="0.55000000000000004">
      <c r="A171" s="6" t="s">
        <v>180</v>
      </c>
      <c r="B171" s="7">
        <v>58</v>
      </c>
      <c r="C171" s="7">
        <v>63</v>
      </c>
      <c r="D171" s="14" t="s">
        <v>17</v>
      </c>
      <c r="E171" s="7">
        <v>9</v>
      </c>
      <c r="F171" s="7" t="s">
        <v>16</v>
      </c>
      <c r="G171" s="7"/>
      <c r="H171" s="50"/>
    </row>
    <row r="172" spans="1:8" x14ac:dyDescent="0.55000000000000004">
      <c r="A172" s="8" t="s">
        <v>181</v>
      </c>
      <c r="B172" s="7">
        <v>58</v>
      </c>
      <c r="C172" s="7">
        <v>65</v>
      </c>
      <c r="D172" s="14" t="s">
        <v>17</v>
      </c>
      <c r="E172" s="7">
        <v>9</v>
      </c>
      <c r="F172" s="7" t="s">
        <v>16</v>
      </c>
      <c r="G172" s="7"/>
      <c r="H172" s="50"/>
    </row>
    <row r="173" spans="1:8" x14ac:dyDescent="0.55000000000000004">
      <c r="A173" s="9" t="s">
        <v>164</v>
      </c>
      <c r="B173" s="7">
        <v>57</v>
      </c>
      <c r="C173" s="7">
        <v>70</v>
      </c>
      <c r="D173" s="14" t="s">
        <v>17</v>
      </c>
      <c r="E173" s="7">
        <v>9</v>
      </c>
      <c r="F173" s="7" t="s">
        <v>16</v>
      </c>
      <c r="G173" s="7"/>
      <c r="H173" s="50"/>
    </row>
    <row r="174" spans="1:8" ht="14.7" thickBot="1" x14ac:dyDescent="0.6">
      <c r="A174" s="11" t="s">
        <v>165</v>
      </c>
      <c r="B174" s="12">
        <v>57</v>
      </c>
      <c r="C174" s="12">
        <v>64</v>
      </c>
      <c r="D174" s="16" t="s">
        <v>17</v>
      </c>
      <c r="E174" s="7">
        <v>9</v>
      </c>
      <c r="F174" s="12" t="s">
        <v>16</v>
      </c>
      <c r="G174" s="12">
        <v>628.5</v>
      </c>
      <c r="H174" s="58">
        <f>Tabla269161866[[#This Row],[Total cluster weight (g)]]/COUNTA(A170:A174)</f>
        <v>125.7</v>
      </c>
    </row>
    <row r="175" spans="1:8" x14ac:dyDescent="0.55000000000000004">
      <c r="A175" s="4" t="s">
        <v>185</v>
      </c>
      <c r="B175" s="7">
        <v>58</v>
      </c>
      <c r="C175" s="7">
        <v>67</v>
      </c>
      <c r="D175" s="14" t="s">
        <v>17</v>
      </c>
      <c r="E175" s="7">
        <v>10</v>
      </c>
      <c r="F175" s="7" t="s">
        <v>16</v>
      </c>
      <c r="G175" s="7"/>
      <c r="H175" s="50"/>
    </row>
    <row r="176" spans="1:8" x14ac:dyDescent="0.55000000000000004">
      <c r="A176" s="6" t="s">
        <v>186</v>
      </c>
      <c r="B176" s="7">
        <v>58</v>
      </c>
      <c r="C176" s="7">
        <v>65</v>
      </c>
      <c r="D176" s="14" t="s">
        <v>17</v>
      </c>
      <c r="E176" s="7">
        <v>10</v>
      </c>
      <c r="F176" s="7" t="s">
        <v>16</v>
      </c>
      <c r="G176" s="7"/>
      <c r="H176" s="50"/>
    </row>
    <row r="177" spans="1:8" x14ac:dyDescent="0.55000000000000004">
      <c r="A177" s="8" t="s">
        <v>187</v>
      </c>
      <c r="B177" s="7">
        <v>56</v>
      </c>
      <c r="C177" s="7">
        <v>64</v>
      </c>
      <c r="D177" s="14" t="s">
        <v>17</v>
      </c>
      <c r="E177" s="7">
        <v>10</v>
      </c>
      <c r="F177" s="7" t="s">
        <v>16</v>
      </c>
      <c r="G177" s="7"/>
      <c r="H177" s="50"/>
    </row>
    <row r="178" spans="1:8" x14ac:dyDescent="0.55000000000000004">
      <c r="A178" s="9" t="s">
        <v>188</v>
      </c>
      <c r="B178" s="7">
        <v>57</v>
      </c>
      <c r="C178" s="7">
        <v>63</v>
      </c>
      <c r="D178" s="14" t="s">
        <v>17</v>
      </c>
      <c r="E178" s="7">
        <v>10</v>
      </c>
      <c r="F178" s="7" t="s">
        <v>16</v>
      </c>
      <c r="G178" s="7"/>
      <c r="H178" s="50"/>
    </row>
    <row r="179" spans="1:8" ht="14.7" thickBot="1" x14ac:dyDescent="0.6">
      <c r="A179" s="11" t="s">
        <v>189</v>
      </c>
      <c r="B179" s="12">
        <v>58</v>
      </c>
      <c r="C179" s="12">
        <v>65</v>
      </c>
      <c r="D179" s="16" t="s">
        <v>17</v>
      </c>
      <c r="E179" s="7">
        <v>10</v>
      </c>
      <c r="F179" s="12" t="s">
        <v>16</v>
      </c>
      <c r="G179" s="12">
        <v>656</v>
      </c>
      <c r="H179" s="58">
        <f>Tabla269161866[[#This Row],[Total cluster weight (g)]]/COUNTA(A175:A179)</f>
        <v>131.19999999999999</v>
      </c>
    </row>
    <row r="180" spans="1:8" x14ac:dyDescent="0.55000000000000004">
      <c r="A180" s="4" t="s">
        <v>200</v>
      </c>
      <c r="B180" s="7">
        <v>60</v>
      </c>
      <c r="C180" s="7">
        <v>67</v>
      </c>
      <c r="D180" s="14" t="s">
        <v>17</v>
      </c>
      <c r="E180" s="7">
        <v>11</v>
      </c>
      <c r="F180" s="7" t="s">
        <v>16</v>
      </c>
      <c r="G180" s="7"/>
      <c r="H180" s="50"/>
    </row>
    <row r="181" spans="1:8" x14ac:dyDescent="0.55000000000000004">
      <c r="A181" s="6" t="s">
        <v>201</v>
      </c>
      <c r="B181" s="7">
        <v>60</v>
      </c>
      <c r="C181" s="7">
        <v>64</v>
      </c>
      <c r="D181" s="14" t="s">
        <v>17</v>
      </c>
      <c r="E181" s="7">
        <v>11</v>
      </c>
      <c r="F181" s="7" t="s">
        <v>16</v>
      </c>
      <c r="G181" s="7"/>
      <c r="H181" s="50"/>
    </row>
    <row r="182" spans="1:8" x14ac:dyDescent="0.55000000000000004">
      <c r="A182" s="8" t="s">
        <v>202</v>
      </c>
      <c r="B182" s="7">
        <v>60</v>
      </c>
      <c r="C182" s="7">
        <v>63</v>
      </c>
      <c r="D182" s="14" t="s">
        <v>17</v>
      </c>
      <c r="E182" s="7">
        <v>11</v>
      </c>
      <c r="F182" s="7" t="s">
        <v>16</v>
      </c>
      <c r="G182" s="7"/>
      <c r="H182" s="50"/>
    </row>
    <row r="183" spans="1:8" x14ac:dyDescent="0.55000000000000004">
      <c r="A183" s="9" t="s">
        <v>203</v>
      </c>
      <c r="B183" s="7">
        <v>59</v>
      </c>
      <c r="C183" s="7">
        <v>63</v>
      </c>
      <c r="D183" s="14" t="s">
        <v>17</v>
      </c>
      <c r="E183" s="7">
        <v>11</v>
      </c>
      <c r="F183" s="7" t="s">
        <v>16</v>
      </c>
      <c r="G183" s="7"/>
      <c r="H183" s="50"/>
    </row>
    <row r="184" spans="1:8" ht="14.7" thickBot="1" x14ac:dyDescent="0.6">
      <c r="A184" s="11" t="s">
        <v>204</v>
      </c>
      <c r="B184" s="12">
        <v>60</v>
      </c>
      <c r="C184" s="12">
        <v>71</v>
      </c>
      <c r="D184" s="16" t="s">
        <v>17</v>
      </c>
      <c r="E184" s="7">
        <v>11</v>
      </c>
      <c r="F184" s="12" t="s">
        <v>16</v>
      </c>
      <c r="G184" s="12">
        <v>690</v>
      </c>
      <c r="H184" s="58">
        <f>Tabla269161866[[#This Row],[Total cluster weight (g)]]/COUNTA(A180:A184)</f>
        <v>138</v>
      </c>
    </row>
    <row r="185" spans="1:8" x14ac:dyDescent="0.55000000000000004">
      <c r="A185" s="4" t="s">
        <v>205</v>
      </c>
      <c r="B185" s="7">
        <v>54</v>
      </c>
      <c r="C185" s="7">
        <v>58</v>
      </c>
      <c r="D185" s="110" t="s">
        <v>17</v>
      </c>
      <c r="E185" s="7">
        <v>12</v>
      </c>
      <c r="F185" s="7" t="s">
        <v>15</v>
      </c>
      <c r="G185" s="7"/>
      <c r="H185" s="50"/>
    </row>
    <row r="186" spans="1:8" x14ac:dyDescent="0.55000000000000004">
      <c r="A186" s="6" t="s">
        <v>206</v>
      </c>
      <c r="B186" s="7">
        <v>56</v>
      </c>
      <c r="C186" s="7">
        <v>63</v>
      </c>
      <c r="D186" s="110" t="s">
        <v>17</v>
      </c>
      <c r="E186" s="7">
        <v>12</v>
      </c>
      <c r="F186" s="7" t="s">
        <v>16</v>
      </c>
      <c r="G186" s="7"/>
      <c r="H186" s="50"/>
    </row>
    <row r="187" spans="1:8" x14ac:dyDescent="0.55000000000000004">
      <c r="A187" s="8" t="s">
        <v>207</v>
      </c>
      <c r="B187" s="7">
        <v>56</v>
      </c>
      <c r="C187" s="7">
        <v>64</v>
      </c>
      <c r="D187" s="110" t="s">
        <v>17</v>
      </c>
      <c r="E187" s="7">
        <v>12</v>
      </c>
      <c r="F187" s="7" t="s">
        <v>16</v>
      </c>
      <c r="G187" s="7"/>
      <c r="H187" s="50"/>
    </row>
    <row r="188" spans="1:8" x14ac:dyDescent="0.55000000000000004">
      <c r="A188" s="9" t="s">
        <v>208</v>
      </c>
      <c r="B188" s="7">
        <v>59</v>
      </c>
      <c r="C188" s="7">
        <v>67</v>
      </c>
      <c r="D188" s="110" t="s">
        <v>17</v>
      </c>
      <c r="E188" s="7">
        <v>12</v>
      </c>
      <c r="F188" s="7" t="s">
        <v>16</v>
      </c>
      <c r="G188" s="7"/>
      <c r="H188" s="50"/>
    </row>
    <row r="189" spans="1:8" ht="14.7" thickBot="1" x14ac:dyDescent="0.6">
      <c r="A189" s="11" t="s">
        <v>209</v>
      </c>
      <c r="B189" s="12">
        <v>58</v>
      </c>
      <c r="C189" s="12">
        <v>63</v>
      </c>
      <c r="D189" s="109" t="s">
        <v>17</v>
      </c>
      <c r="E189" s="7">
        <v>12</v>
      </c>
      <c r="F189" s="12" t="s">
        <v>16</v>
      </c>
      <c r="G189" s="12">
        <v>631</v>
      </c>
      <c r="H189" s="58">
        <f>Tabla269161866[[#This Row],[Total cluster weight (g)]]/COUNTA(A185:A189)</f>
        <v>126.2</v>
      </c>
    </row>
    <row r="190" spans="1:8" x14ac:dyDescent="0.55000000000000004">
      <c r="A190" s="19"/>
      <c r="B190" s="20"/>
      <c r="C190" s="20"/>
      <c r="D190" s="104"/>
      <c r="E190" s="20"/>
      <c r="F190" s="20"/>
      <c r="G190" s="20"/>
      <c r="H190" s="53"/>
    </row>
    <row r="191" spans="1:8" x14ac:dyDescent="0.55000000000000004">
      <c r="A191" s="39" t="s">
        <v>53</v>
      </c>
      <c r="B191" s="35" t="s">
        <v>44</v>
      </c>
      <c r="C191" s="35" t="s">
        <v>45</v>
      </c>
      <c r="D191" s="35" t="s">
        <v>46</v>
      </c>
      <c r="E191" s="35" t="s">
        <v>47</v>
      </c>
      <c r="F191" s="36" t="s">
        <v>56</v>
      </c>
      <c r="G191" s="60" t="s">
        <v>72</v>
      </c>
    </row>
    <row r="192" spans="1:8" x14ac:dyDescent="0.55000000000000004">
      <c r="A192" s="40" t="s">
        <v>48</v>
      </c>
      <c r="B192" s="37">
        <f>AVERAGE(Tabla269161866[Height (mm)])</f>
        <v>54.898305084745765</v>
      </c>
      <c r="C192" s="37">
        <f>AVERAGE(Tabla269161866[Width (mm)])</f>
        <v>63.66101694915254</v>
      </c>
      <c r="D192" s="37">
        <f>MAX(Tabla269161866[[Cluster number ]])</f>
        <v>12</v>
      </c>
      <c r="E192" s="37">
        <f>AVERAGE(Tabla269161866[Tomato average weight per cluster])</f>
        <v>122.08750000000002</v>
      </c>
      <c r="F192" s="38">
        <f>COUNTA(Tabla269161866["C15" PLANT])</f>
        <v>59</v>
      </c>
      <c r="G192" s="59">
        <f>SUM(Tabla269161866[Total cluster weight (g)])</f>
        <v>7200</v>
      </c>
    </row>
    <row r="194" spans="1:8" ht="14.7" thickBot="1" x14ac:dyDescent="0.6">
      <c r="A194" s="3" t="s">
        <v>11</v>
      </c>
      <c r="B194" t="s">
        <v>2</v>
      </c>
      <c r="C194" t="s">
        <v>3</v>
      </c>
      <c r="D194" t="s">
        <v>4</v>
      </c>
      <c r="E194" t="s">
        <v>5</v>
      </c>
      <c r="F194" t="s">
        <v>6</v>
      </c>
      <c r="G194" t="s">
        <v>7</v>
      </c>
      <c r="H194" t="s">
        <v>43</v>
      </c>
    </row>
    <row r="195" spans="1:8" x14ac:dyDescent="0.55000000000000004">
      <c r="A195" s="4" t="s">
        <v>117</v>
      </c>
      <c r="B195" s="5">
        <v>46</v>
      </c>
      <c r="C195" s="5">
        <v>61</v>
      </c>
      <c r="D195" s="67" t="s">
        <v>17</v>
      </c>
      <c r="E195" s="7">
        <v>1</v>
      </c>
      <c r="F195" s="13" t="s">
        <v>16</v>
      </c>
      <c r="G195" s="7"/>
      <c r="H195" s="85"/>
    </row>
    <row r="196" spans="1:8" x14ac:dyDescent="0.55000000000000004">
      <c r="A196" s="6" t="s">
        <v>118</v>
      </c>
      <c r="B196" s="7">
        <v>50</v>
      </c>
      <c r="C196" s="7">
        <v>64</v>
      </c>
      <c r="D196" s="67" t="s">
        <v>17</v>
      </c>
      <c r="E196" s="7">
        <v>1</v>
      </c>
      <c r="F196" s="7" t="s">
        <v>16</v>
      </c>
      <c r="G196" s="7"/>
      <c r="H196" s="85"/>
    </row>
    <row r="197" spans="1:8" x14ac:dyDescent="0.55000000000000004">
      <c r="A197" s="8" t="s">
        <v>100</v>
      </c>
      <c r="B197" s="7">
        <v>51</v>
      </c>
      <c r="C197" s="7">
        <v>63</v>
      </c>
      <c r="D197" s="67" t="s">
        <v>17</v>
      </c>
      <c r="E197" s="7">
        <v>1</v>
      </c>
      <c r="F197" s="7" t="s">
        <v>16</v>
      </c>
      <c r="G197" s="7"/>
      <c r="H197" s="85"/>
    </row>
    <row r="198" spans="1:8" x14ac:dyDescent="0.55000000000000004">
      <c r="A198" s="9" t="s">
        <v>86</v>
      </c>
      <c r="B198" s="10">
        <v>55</v>
      </c>
      <c r="C198" s="10">
        <v>67</v>
      </c>
      <c r="D198" s="67" t="s">
        <v>17</v>
      </c>
      <c r="E198" s="7">
        <v>1</v>
      </c>
      <c r="F198" s="7" t="s">
        <v>16</v>
      </c>
      <c r="G198" s="7"/>
      <c r="H198" s="85"/>
    </row>
    <row r="199" spans="1:8" ht="14.7" thickBot="1" x14ac:dyDescent="0.6">
      <c r="A199" s="11" t="s">
        <v>87</v>
      </c>
      <c r="B199" s="12">
        <v>54</v>
      </c>
      <c r="C199" s="12">
        <v>65</v>
      </c>
      <c r="D199" s="81" t="s">
        <v>17</v>
      </c>
      <c r="E199" s="7">
        <v>1</v>
      </c>
      <c r="F199" s="15" t="s">
        <v>16</v>
      </c>
      <c r="G199" s="12">
        <v>584.5</v>
      </c>
      <c r="H199" s="61">
        <f>Tabla269161967[[#This Row],[Total cluster weight (g)]]/COUNTA(A195:A199)</f>
        <v>116.9</v>
      </c>
    </row>
    <row r="200" spans="1:8" x14ac:dyDescent="0.55000000000000004">
      <c r="A200" s="22" t="s">
        <v>88</v>
      </c>
      <c r="B200" s="10">
        <v>52</v>
      </c>
      <c r="C200" s="10">
        <v>66</v>
      </c>
      <c r="D200" s="71" t="s">
        <v>17</v>
      </c>
      <c r="E200" s="10">
        <v>2</v>
      </c>
      <c r="F200" s="10" t="s">
        <v>15</v>
      </c>
      <c r="G200" s="10"/>
      <c r="H200" s="54"/>
    </row>
    <row r="201" spans="1:8" x14ac:dyDescent="0.55000000000000004">
      <c r="A201" s="8" t="s">
        <v>89</v>
      </c>
      <c r="B201" s="7">
        <v>53</v>
      </c>
      <c r="C201" s="7">
        <v>66</v>
      </c>
      <c r="D201" s="67" t="s">
        <v>17</v>
      </c>
      <c r="E201" s="10">
        <v>2</v>
      </c>
      <c r="F201" s="7" t="s">
        <v>16</v>
      </c>
      <c r="G201" s="7"/>
      <c r="H201" s="50"/>
    </row>
    <row r="202" spans="1:8" x14ac:dyDescent="0.55000000000000004">
      <c r="A202" s="8" t="s">
        <v>99</v>
      </c>
      <c r="B202" s="7">
        <v>54</v>
      </c>
      <c r="C202" s="7">
        <v>67</v>
      </c>
      <c r="D202" s="67" t="s">
        <v>17</v>
      </c>
      <c r="E202" s="10">
        <v>2</v>
      </c>
      <c r="F202" s="7" t="s">
        <v>16</v>
      </c>
      <c r="G202" s="7"/>
      <c r="H202" s="50"/>
    </row>
    <row r="203" spans="1:8" x14ac:dyDescent="0.55000000000000004">
      <c r="A203" s="8" t="s">
        <v>91</v>
      </c>
      <c r="B203" s="7">
        <v>55</v>
      </c>
      <c r="C203" s="7">
        <v>69</v>
      </c>
      <c r="D203" s="67" t="s">
        <v>17</v>
      </c>
      <c r="E203" s="10">
        <v>2</v>
      </c>
      <c r="F203" s="7" t="s">
        <v>16</v>
      </c>
      <c r="G203" s="7"/>
      <c r="H203" s="50"/>
    </row>
    <row r="204" spans="1:8" ht="14.7" thickBot="1" x14ac:dyDescent="0.6">
      <c r="A204" s="23" t="s">
        <v>92</v>
      </c>
      <c r="B204" s="12">
        <v>54</v>
      </c>
      <c r="C204" s="12">
        <v>68</v>
      </c>
      <c r="D204" s="81" t="s">
        <v>17</v>
      </c>
      <c r="E204" s="10">
        <v>2</v>
      </c>
      <c r="F204" s="12" t="s">
        <v>16</v>
      </c>
      <c r="G204" s="12">
        <v>683.5</v>
      </c>
      <c r="H204" s="58">
        <f>Tabla269161967[[#This Row],[Total cluster weight (g)]]/COUNTA(A200:A204)</f>
        <v>136.69999999999999</v>
      </c>
    </row>
    <row r="205" spans="1:8" x14ac:dyDescent="0.55000000000000004">
      <c r="A205" s="22" t="s">
        <v>94</v>
      </c>
      <c r="B205" s="10">
        <v>54</v>
      </c>
      <c r="C205" s="10">
        <v>68</v>
      </c>
      <c r="D205" s="71" t="s">
        <v>17</v>
      </c>
      <c r="E205" s="10">
        <v>3</v>
      </c>
      <c r="F205" s="10" t="s">
        <v>16</v>
      </c>
      <c r="G205" s="10"/>
      <c r="H205" s="54"/>
    </row>
    <row r="206" spans="1:8" x14ac:dyDescent="0.55000000000000004">
      <c r="A206" s="8" t="s">
        <v>95</v>
      </c>
      <c r="B206" s="7">
        <v>53</v>
      </c>
      <c r="C206" s="7">
        <v>67</v>
      </c>
      <c r="D206" s="67" t="s">
        <v>17</v>
      </c>
      <c r="E206" s="10">
        <v>3</v>
      </c>
      <c r="F206" s="7" t="s">
        <v>16</v>
      </c>
      <c r="G206" s="7"/>
      <c r="H206" s="50"/>
    </row>
    <row r="207" spans="1:8" x14ac:dyDescent="0.55000000000000004">
      <c r="A207" s="8" t="s">
        <v>107</v>
      </c>
      <c r="B207" s="7">
        <v>57</v>
      </c>
      <c r="C207" s="7">
        <v>68</v>
      </c>
      <c r="D207" s="67" t="s">
        <v>17</v>
      </c>
      <c r="E207" s="10">
        <v>3</v>
      </c>
      <c r="F207" s="7" t="s">
        <v>16</v>
      </c>
      <c r="G207" s="7"/>
      <c r="H207" s="50"/>
    </row>
    <row r="208" spans="1:8" x14ac:dyDescent="0.55000000000000004">
      <c r="A208" s="8" t="s">
        <v>108</v>
      </c>
      <c r="B208" s="7">
        <v>54</v>
      </c>
      <c r="C208" s="7">
        <v>67</v>
      </c>
      <c r="D208" s="67" t="s">
        <v>17</v>
      </c>
      <c r="E208" s="10">
        <v>3</v>
      </c>
      <c r="F208" s="7" t="s">
        <v>16</v>
      </c>
      <c r="G208" s="7"/>
      <c r="H208" s="50"/>
    </row>
    <row r="209" spans="1:8" ht="14.7" thickBot="1" x14ac:dyDescent="0.6">
      <c r="A209" s="23" t="s">
        <v>109</v>
      </c>
      <c r="B209" s="12">
        <v>56</v>
      </c>
      <c r="C209" s="12">
        <v>70</v>
      </c>
      <c r="D209" s="81" t="s">
        <v>17</v>
      </c>
      <c r="E209" s="10">
        <v>3</v>
      </c>
      <c r="F209" s="12" t="s">
        <v>16</v>
      </c>
      <c r="G209" s="12">
        <v>708</v>
      </c>
      <c r="H209" s="58">
        <f>Tabla269161967[[#This Row],[Total cluster weight (g)]]/COUNTA(A205:A209)</f>
        <v>141.6</v>
      </c>
    </row>
    <row r="210" spans="1:8" x14ac:dyDescent="0.55000000000000004">
      <c r="A210" s="22" t="s">
        <v>110</v>
      </c>
      <c r="B210" s="10">
        <v>53</v>
      </c>
      <c r="C210" s="10">
        <v>65</v>
      </c>
      <c r="D210" s="71" t="s">
        <v>17</v>
      </c>
      <c r="E210" s="10">
        <v>4</v>
      </c>
      <c r="F210" s="10" t="s">
        <v>129</v>
      </c>
      <c r="G210" s="10"/>
      <c r="H210" s="54"/>
    </row>
    <row r="211" spans="1:8" x14ac:dyDescent="0.55000000000000004">
      <c r="A211" s="8" t="s">
        <v>111</v>
      </c>
      <c r="B211" s="7">
        <v>54</v>
      </c>
      <c r="C211" s="7">
        <v>62</v>
      </c>
      <c r="D211" s="67" t="s">
        <v>17</v>
      </c>
      <c r="E211" s="10">
        <v>4</v>
      </c>
      <c r="F211" s="7" t="s">
        <v>16</v>
      </c>
      <c r="G211" s="7"/>
      <c r="H211" s="50"/>
    </row>
    <row r="212" spans="1:8" x14ac:dyDescent="0.55000000000000004">
      <c r="A212" s="8" t="s">
        <v>119</v>
      </c>
      <c r="B212" s="7">
        <v>54</v>
      </c>
      <c r="C212" s="7">
        <v>67</v>
      </c>
      <c r="D212" s="67" t="s">
        <v>17</v>
      </c>
      <c r="E212" s="10">
        <v>4</v>
      </c>
      <c r="F212" s="7" t="s">
        <v>16</v>
      </c>
      <c r="G212" s="7"/>
      <c r="H212" s="50"/>
    </row>
    <row r="213" spans="1:8" x14ac:dyDescent="0.55000000000000004">
      <c r="A213" s="8" t="s">
        <v>120</v>
      </c>
      <c r="B213" s="7">
        <v>55</v>
      </c>
      <c r="C213" s="7">
        <v>73</v>
      </c>
      <c r="D213" s="67" t="s">
        <v>17</v>
      </c>
      <c r="E213" s="10">
        <v>4</v>
      </c>
      <c r="F213" s="7" t="s">
        <v>16</v>
      </c>
      <c r="G213" s="7"/>
      <c r="H213" s="50"/>
    </row>
    <row r="214" spans="1:8" ht="14.7" thickBot="1" x14ac:dyDescent="0.6">
      <c r="A214" s="23" t="s">
        <v>121</v>
      </c>
      <c r="B214" s="12">
        <v>55</v>
      </c>
      <c r="C214" s="12">
        <v>70</v>
      </c>
      <c r="D214" s="81" t="s">
        <v>17</v>
      </c>
      <c r="E214" s="10">
        <v>4</v>
      </c>
      <c r="F214" s="12" t="s">
        <v>16</v>
      </c>
      <c r="G214" s="12">
        <v>699.5</v>
      </c>
      <c r="H214" s="58">
        <f>Tabla269161967[[#This Row],[Total cluster weight (g)]]/COUNTA(A210:A214)</f>
        <v>139.9</v>
      </c>
    </row>
    <row r="215" spans="1:8" x14ac:dyDescent="0.55000000000000004">
      <c r="A215" s="22" t="s">
        <v>122</v>
      </c>
      <c r="B215" s="10">
        <v>53</v>
      </c>
      <c r="C215" s="10">
        <v>66</v>
      </c>
      <c r="D215" s="71" t="s">
        <v>17</v>
      </c>
      <c r="E215" s="10">
        <v>5</v>
      </c>
      <c r="F215" s="10" t="s">
        <v>129</v>
      </c>
      <c r="G215" s="10"/>
      <c r="H215" s="54"/>
    </row>
    <row r="216" spans="1:8" x14ac:dyDescent="0.55000000000000004">
      <c r="A216" s="8" t="s">
        <v>123</v>
      </c>
      <c r="B216" s="7">
        <v>54</v>
      </c>
      <c r="C216" s="7">
        <v>69</v>
      </c>
      <c r="D216" s="67" t="s">
        <v>17</v>
      </c>
      <c r="E216" s="10">
        <v>5</v>
      </c>
      <c r="F216" s="7" t="s">
        <v>16</v>
      </c>
      <c r="G216" s="7"/>
      <c r="H216" s="50"/>
    </row>
    <row r="217" spans="1:8" x14ac:dyDescent="0.55000000000000004">
      <c r="A217" s="8" t="s">
        <v>124</v>
      </c>
      <c r="B217" s="7">
        <v>56</v>
      </c>
      <c r="C217" s="7">
        <v>70</v>
      </c>
      <c r="D217" s="67" t="s">
        <v>17</v>
      </c>
      <c r="E217" s="10">
        <v>5</v>
      </c>
      <c r="F217" s="7" t="s">
        <v>16</v>
      </c>
      <c r="G217" s="7"/>
      <c r="H217" s="50"/>
    </row>
    <row r="218" spans="1:8" x14ac:dyDescent="0.55000000000000004">
      <c r="A218" s="8" t="s">
        <v>125</v>
      </c>
      <c r="B218" s="7">
        <v>55</v>
      </c>
      <c r="C218" s="7">
        <v>69</v>
      </c>
      <c r="D218" s="67" t="s">
        <v>17</v>
      </c>
      <c r="E218" s="10">
        <v>5</v>
      </c>
      <c r="F218" s="7" t="s">
        <v>16</v>
      </c>
      <c r="G218" s="7"/>
      <c r="H218" s="50"/>
    </row>
    <row r="219" spans="1:8" ht="14.7" thickBot="1" x14ac:dyDescent="0.6">
      <c r="A219" s="23" t="s">
        <v>126</v>
      </c>
      <c r="B219" s="12">
        <v>56</v>
      </c>
      <c r="C219" s="12">
        <v>72</v>
      </c>
      <c r="D219" s="81" t="s">
        <v>17</v>
      </c>
      <c r="E219" s="10">
        <v>5</v>
      </c>
      <c r="F219" s="12" t="s">
        <v>16</v>
      </c>
      <c r="G219" s="12">
        <v>711</v>
      </c>
      <c r="H219" s="58">
        <f>Tabla269161967[[#This Row],[Total cluster weight (g)]]/COUNTA(A215:A219)</f>
        <v>142.19999999999999</v>
      </c>
    </row>
    <row r="220" spans="1:8" x14ac:dyDescent="0.55000000000000004">
      <c r="A220" s="22" t="s">
        <v>127</v>
      </c>
      <c r="B220" s="10">
        <v>51</v>
      </c>
      <c r="C220" s="10">
        <v>64</v>
      </c>
      <c r="D220" s="71" t="s">
        <v>17</v>
      </c>
      <c r="E220" s="10">
        <v>6</v>
      </c>
      <c r="F220" s="10" t="s">
        <v>15</v>
      </c>
      <c r="G220" s="10"/>
      <c r="H220" s="54"/>
    </row>
    <row r="221" spans="1:8" x14ac:dyDescent="0.55000000000000004">
      <c r="A221" s="8" t="s">
        <v>128</v>
      </c>
      <c r="B221" s="7">
        <v>58</v>
      </c>
      <c r="C221" s="7">
        <v>66</v>
      </c>
      <c r="D221" s="67" t="s">
        <v>17</v>
      </c>
      <c r="E221" s="10">
        <v>6</v>
      </c>
      <c r="F221" s="7" t="s">
        <v>16</v>
      </c>
      <c r="G221" s="7"/>
      <c r="H221" s="50"/>
    </row>
    <row r="222" spans="1:8" x14ac:dyDescent="0.55000000000000004">
      <c r="A222" s="8" t="s">
        <v>131</v>
      </c>
      <c r="B222" s="7">
        <v>54</v>
      </c>
      <c r="C222" s="7">
        <v>66</v>
      </c>
      <c r="D222" s="67" t="s">
        <v>17</v>
      </c>
      <c r="E222" s="10">
        <v>6</v>
      </c>
      <c r="F222" s="7" t="s">
        <v>16</v>
      </c>
      <c r="G222" s="7"/>
      <c r="H222" s="50"/>
    </row>
    <row r="223" spans="1:8" x14ac:dyDescent="0.55000000000000004">
      <c r="A223" s="8" t="s">
        <v>132</v>
      </c>
      <c r="B223" s="7">
        <v>54</v>
      </c>
      <c r="C223" s="7">
        <v>66</v>
      </c>
      <c r="D223" s="67" t="s">
        <v>17</v>
      </c>
      <c r="E223" s="10">
        <v>6</v>
      </c>
      <c r="F223" s="7" t="s">
        <v>16</v>
      </c>
      <c r="G223" s="7"/>
      <c r="H223" s="50"/>
    </row>
    <row r="224" spans="1:8" ht="14.7" thickBot="1" x14ac:dyDescent="0.6">
      <c r="A224" s="23" t="s">
        <v>133</v>
      </c>
      <c r="B224" s="12">
        <v>52</v>
      </c>
      <c r="C224" s="12">
        <v>67</v>
      </c>
      <c r="D224" s="81" t="s">
        <v>17</v>
      </c>
      <c r="E224" s="10">
        <v>6</v>
      </c>
      <c r="F224" s="12" t="s">
        <v>16</v>
      </c>
      <c r="G224" s="12">
        <v>638</v>
      </c>
      <c r="H224" s="58">
        <f>Tabla269161967[[#This Row],[Total cluster weight (g)]]/COUNTA(A220:A224)</f>
        <v>127.6</v>
      </c>
    </row>
    <row r="225" spans="1:8" x14ac:dyDescent="0.55000000000000004">
      <c r="A225" s="4" t="s">
        <v>134</v>
      </c>
      <c r="B225" s="5">
        <v>56</v>
      </c>
      <c r="C225" s="5">
        <v>64</v>
      </c>
      <c r="D225" s="14" t="s">
        <v>17</v>
      </c>
      <c r="E225" s="7">
        <v>7</v>
      </c>
      <c r="F225" s="13" t="s">
        <v>16</v>
      </c>
      <c r="G225" s="7"/>
      <c r="H225" s="53"/>
    </row>
    <row r="226" spans="1:8" x14ac:dyDescent="0.55000000000000004">
      <c r="A226" s="6" t="s">
        <v>135</v>
      </c>
      <c r="B226" s="7">
        <v>56</v>
      </c>
      <c r="C226" s="7">
        <v>66</v>
      </c>
      <c r="D226" s="14" t="s">
        <v>17</v>
      </c>
      <c r="E226" s="7">
        <v>7</v>
      </c>
      <c r="F226" s="7" t="s">
        <v>16</v>
      </c>
      <c r="G226" s="7"/>
      <c r="H226" s="53"/>
    </row>
    <row r="227" spans="1:8" x14ac:dyDescent="0.55000000000000004">
      <c r="A227" s="8" t="s">
        <v>136</v>
      </c>
      <c r="B227" s="7">
        <v>56</v>
      </c>
      <c r="C227" s="7">
        <v>67</v>
      </c>
      <c r="D227" s="14" t="s">
        <v>17</v>
      </c>
      <c r="E227" s="7">
        <v>7</v>
      </c>
      <c r="F227" s="7" t="s">
        <v>16</v>
      </c>
      <c r="G227" s="7"/>
      <c r="H227" s="53"/>
    </row>
    <row r="228" spans="1:8" x14ac:dyDescent="0.55000000000000004">
      <c r="A228" s="9" t="s">
        <v>137</v>
      </c>
      <c r="B228" s="10">
        <v>56</v>
      </c>
      <c r="C228" s="10">
        <v>67</v>
      </c>
      <c r="D228" s="14" t="s">
        <v>17</v>
      </c>
      <c r="E228" s="7">
        <v>7</v>
      </c>
      <c r="F228" s="7" t="s">
        <v>16</v>
      </c>
      <c r="G228" s="7"/>
      <c r="H228" s="53"/>
    </row>
    <row r="229" spans="1:8" ht="14.7" thickBot="1" x14ac:dyDescent="0.6">
      <c r="A229" s="11" t="s">
        <v>138</v>
      </c>
      <c r="B229" s="12">
        <v>56</v>
      </c>
      <c r="C229" s="12">
        <v>69</v>
      </c>
      <c r="D229" s="16" t="s">
        <v>17</v>
      </c>
      <c r="E229" s="7">
        <v>7</v>
      </c>
      <c r="F229" s="15" t="s">
        <v>16</v>
      </c>
      <c r="G229" s="12">
        <v>541</v>
      </c>
      <c r="H229" s="61">
        <f>Tabla269161967[[#This Row],[Total cluster weight (g)]]/COUNTA(A225:A229)</f>
        <v>108.2</v>
      </c>
    </row>
    <row r="230" spans="1:8" x14ac:dyDescent="0.55000000000000004">
      <c r="A230" s="4" t="s">
        <v>139</v>
      </c>
      <c r="B230" s="5">
        <v>56</v>
      </c>
      <c r="C230" s="5">
        <v>72</v>
      </c>
      <c r="D230" s="14" t="s">
        <v>17</v>
      </c>
      <c r="E230" s="7">
        <v>8</v>
      </c>
      <c r="F230" s="13" t="s">
        <v>15</v>
      </c>
      <c r="G230" s="7"/>
      <c r="H230" s="53"/>
    </row>
    <row r="231" spans="1:8" x14ac:dyDescent="0.55000000000000004">
      <c r="A231" s="6" t="s">
        <v>140</v>
      </c>
      <c r="B231" s="7">
        <v>58</v>
      </c>
      <c r="C231" s="7">
        <v>73</v>
      </c>
      <c r="D231" s="14" t="s">
        <v>17</v>
      </c>
      <c r="E231" s="7">
        <v>8</v>
      </c>
      <c r="F231" s="7" t="s">
        <v>16</v>
      </c>
      <c r="G231" s="7"/>
      <c r="H231" s="53"/>
    </row>
    <row r="232" spans="1:8" x14ac:dyDescent="0.55000000000000004">
      <c r="A232" s="8" t="s">
        <v>142</v>
      </c>
      <c r="B232" s="7">
        <v>56</v>
      </c>
      <c r="C232" s="7">
        <v>66</v>
      </c>
      <c r="D232" s="14" t="s">
        <v>17</v>
      </c>
      <c r="E232" s="7">
        <v>8</v>
      </c>
      <c r="F232" s="7" t="s">
        <v>16</v>
      </c>
      <c r="G232" s="7"/>
      <c r="H232" s="53"/>
    </row>
    <row r="233" spans="1:8" x14ac:dyDescent="0.55000000000000004">
      <c r="A233" s="9" t="s">
        <v>143</v>
      </c>
      <c r="B233" s="10">
        <v>59</v>
      </c>
      <c r="C233" s="10">
        <v>73</v>
      </c>
      <c r="D233" s="14" t="s">
        <v>17</v>
      </c>
      <c r="E233" s="7">
        <v>8</v>
      </c>
      <c r="F233" s="7" t="s">
        <v>16</v>
      </c>
      <c r="G233" s="7"/>
      <c r="H233" s="53"/>
    </row>
    <row r="234" spans="1:8" ht="14.7" thickBot="1" x14ac:dyDescent="0.6">
      <c r="A234" s="11" t="s">
        <v>144</v>
      </c>
      <c r="B234" s="12">
        <v>55</v>
      </c>
      <c r="C234" s="12">
        <v>74</v>
      </c>
      <c r="D234" s="16" t="s">
        <v>17</v>
      </c>
      <c r="E234" s="7">
        <v>8</v>
      </c>
      <c r="F234" s="15" t="s">
        <v>16</v>
      </c>
      <c r="G234" s="12">
        <v>725.5</v>
      </c>
      <c r="H234" s="61">
        <f>Tabla269161967[[#This Row],[Total cluster weight (g)]]/COUNTA(A230:A234)</f>
        <v>145.1</v>
      </c>
    </row>
    <row r="235" spans="1:8" x14ac:dyDescent="0.55000000000000004">
      <c r="A235" s="4" t="s">
        <v>197</v>
      </c>
      <c r="B235" s="5">
        <v>62</v>
      </c>
      <c r="C235" s="5">
        <v>71</v>
      </c>
      <c r="D235" s="14" t="s">
        <v>17</v>
      </c>
      <c r="E235" s="7">
        <v>9</v>
      </c>
      <c r="F235" s="13" t="s">
        <v>16</v>
      </c>
      <c r="G235" s="7"/>
      <c r="H235" s="85"/>
    </row>
    <row r="236" spans="1:8" x14ac:dyDescent="0.55000000000000004">
      <c r="A236" s="6" t="s">
        <v>198</v>
      </c>
      <c r="B236" s="7">
        <v>57</v>
      </c>
      <c r="C236" s="7">
        <v>67</v>
      </c>
      <c r="D236" s="14" t="s">
        <v>17</v>
      </c>
      <c r="E236" s="7">
        <v>9</v>
      </c>
      <c r="F236" s="7" t="s">
        <v>16</v>
      </c>
      <c r="G236" s="7"/>
      <c r="H236" s="85"/>
    </row>
    <row r="237" spans="1:8" x14ac:dyDescent="0.55000000000000004">
      <c r="A237" s="8" t="s">
        <v>196</v>
      </c>
      <c r="B237" s="7">
        <v>58</v>
      </c>
      <c r="C237" s="7">
        <v>70</v>
      </c>
      <c r="D237" s="14" t="s">
        <v>17</v>
      </c>
      <c r="E237" s="7">
        <v>9</v>
      </c>
      <c r="F237" s="7" t="s">
        <v>16</v>
      </c>
      <c r="G237" s="7"/>
      <c r="H237" s="85"/>
    </row>
    <row r="238" spans="1:8" ht="14.7" thickBot="1" x14ac:dyDescent="0.6">
      <c r="A238" s="11" t="s">
        <v>149</v>
      </c>
      <c r="B238" s="12">
        <v>62</v>
      </c>
      <c r="C238" s="12">
        <v>77</v>
      </c>
      <c r="D238" s="16" t="s">
        <v>17</v>
      </c>
      <c r="E238" s="7">
        <v>9</v>
      </c>
      <c r="F238" s="15" t="s">
        <v>16</v>
      </c>
      <c r="G238" s="12">
        <v>593.5</v>
      </c>
      <c r="H238" s="61">
        <f>Tabla269161967[[#This Row],[Total cluster weight (g)]]/COUNTA(A235:A238)</f>
        <v>148.375</v>
      </c>
    </row>
    <row r="239" spans="1:8" x14ac:dyDescent="0.55000000000000004">
      <c r="A239" s="4" t="s">
        <v>150</v>
      </c>
      <c r="B239" s="5">
        <v>59</v>
      </c>
      <c r="C239" s="5">
        <v>65</v>
      </c>
      <c r="D239" s="14" t="s">
        <v>17</v>
      </c>
      <c r="E239" s="7">
        <v>10</v>
      </c>
      <c r="F239" s="13" t="s">
        <v>15</v>
      </c>
      <c r="G239" s="7"/>
      <c r="H239" s="53"/>
    </row>
    <row r="240" spans="1:8" x14ac:dyDescent="0.55000000000000004">
      <c r="A240" s="6" t="s">
        <v>151</v>
      </c>
      <c r="B240" s="7">
        <v>59</v>
      </c>
      <c r="C240" s="7">
        <v>66</v>
      </c>
      <c r="D240" s="14" t="s">
        <v>17</v>
      </c>
      <c r="E240" s="7">
        <v>10</v>
      </c>
      <c r="F240" s="7" t="s">
        <v>16</v>
      </c>
      <c r="G240" s="7"/>
      <c r="H240" s="53"/>
    </row>
    <row r="241" spans="1:8" x14ac:dyDescent="0.55000000000000004">
      <c r="A241" s="8" t="s">
        <v>152</v>
      </c>
      <c r="B241" s="7">
        <v>62</v>
      </c>
      <c r="C241" s="7">
        <v>72</v>
      </c>
      <c r="D241" s="14" t="s">
        <v>17</v>
      </c>
      <c r="E241" s="7">
        <v>10</v>
      </c>
      <c r="F241" s="7" t="s">
        <v>16</v>
      </c>
      <c r="G241" s="7"/>
      <c r="H241" s="53"/>
    </row>
    <row r="242" spans="1:8" x14ac:dyDescent="0.55000000000000004">
      <c r="A242" s="9" t="s">
        <v>153</v>
      </c>
      <c r="B242" s="10">
        <v>64</v>
      </c>
      <c r="C242" s="10">
        <v>71</v>
      </c>
      <c r="D242" s="14" t="s">
        <v>17</v>
      </c>
      <c r="E242" s="7">
        <v>10</v>
      </c>
      <c r="F242" s="7" t="s">
        <v>16</v>
      </c>
      <c r="G242" s="7"/>
      <c r="H242" s="53"/>
    </row>
    <row r="243" spans="1:8" ht="14.7" thickBot="1" x14ac:dyDescent="0.6">
      <c r="A243" s="11" t="s">
        <v>154</v>
      </c>
      <c r="B243" s="12">
        <v>63</v>
      </c>
      <c r="C243" s="12">
        <v>70</v>
      </c>
      <c r="D243" s="16" t="s">
        <v>17</v>
      </c>
      <c r="E243" s="7">
        <v>10</v>
      </c>
      <c r="F243" s="15" t="s">
        <v>16</v>
      </c>
      <c r="G243" s="12">
        <v>782.5</v>
      </c>
      <c r="H243" s="61">
        <f>Tabla269161967[[#This Row],[Total cluster weight (g)]]/COUNTA(A239:A243)</f>
        <v>156.5</v>
      </c>
    </row>
    <row r="244" spans="1:8" x14ac:dyDescent="0.55000000000000004">
      <c r="A244" s="4" t="s">
        <v>164</v>
      </c>
      <c r="B244" s="5">
        <v>59</v>
      </c>
      <c r="C244" s="5">
        <v>66</v>
      </c>
      <c r="D244" s="14" t="s">
        <v>17</v>
      </c>
      <c r="E244" s="7">
        <v>11</v>
      </c>
      <c r="F244" s="13" t="s">
        <v>19</v>
      </c>
      <c r="G244" s="7"/>
      <c r="H244" s="53"/>
    </row>
    <row r="245" spans="1:8" x14ac:dyDescent="0.55000000000000004">
      <c r="A245" s="6" t="s">
        <v>165</v>
      </c>
      <c r="B245" s="7">
        <v>56</v>
      </c>
      <c r="C245" s="7">
        <v>62</v>
      </c>
      <c r="D245" s="14" t="s">
        <v>17</v>
      </c>
      <c r="E245" s="7">
        <v>11</v>
      </c>
      <c r="F245" s="7" t="s">
        <v>16</v>
      </c>
      <c r="G245" s="7"/>
      <c r="H245" s="53"/>
    </row>
    <row r="246" spans="1:8" x14ac:dyDescent="0.55000000000000004">
      <c r="A246" s="8" t="s">
        <v>185</v>
      </c>
      <c r="B246" s="7">
        <v>54</v>
      </c>
      <c r="C246" s="7">
        <v>66</v>
      </c>
      <c r="D246" s="14" t="s">
        <v>17</v>
      </c>
      <c r="E246" s="7">
        <v>11</v>
      </c>
      <c r="F246" s="7" t="s">
        <v>16</v>
      </c>
      <c r="G246" s="7"/>
      <c r="H246" s="53"/>
    </row>
    <row r="247" spans="1:8" x14ac:dyDescent="0.55000000000000004">
      <c r="A247" s="9" t="s">
        <v>186</v>
      </c>
      <c r="B247" s="10">
        <v>56</v>
      </c>
      <c r="C247" s="10">
        <v>70</v>
      </c>
      <c r="D247" s="14" t="s">
        <v>17</v>
      </c>
      <c r="E247" s="7">
        <v>11</v>
      </c>
      <c r="F247" s="7" t="s">
        <v>16</v>
      </c>
      <c r="G247" s="7"/>
      <c r="H247" s="53"/>
    </row>
    <row r="248" spans="1:8" ht="14.7" thickBot="1" x14ac:dyDescent="0.6">
      <c r="A248" s="11" t="s">
        <v>187</v>
      </c>
      <c r="B248" s="12">
        <v>56</v>
      </c>
      <c r="C248" s="12">
        <v>68</v>
      </c>
      <c r="D248" s="16" t="s">
        <v>17</v>
      </c>
      <c r="E248" s="7">
        <v>11</v>
      </c>
      <c r="F248" s="15" t="s">
        <v>16</v>
      </c>
      <c r="G248" s="12">
        <v>701</v>
      </c>
      <c r="H248" s="61">
        <f>Tabla269161967[[#This Row],[Total cluster weight (g)]]/COUNTA(A244:A248)</f>
        <v>140.19999999999999</v>
      </c>
    </row>
    <row r="249" spans="1:8" x14ac:dyDescent="0.55000000000000004">
      <c r="A249" s="19"/>
      <c r="B249" s="20"/>
      <c r="C249" s="2"/>
      <c r="D249" s="21"/>
      <c r="E249" s="2"/>
      <c r="F249" s="2"/>
      <c r="G249" s="2"/>
    </row>
    <row r="250" spans="1:8" x14ac:dyDescent="0.55000000000000004">
      <c r="A250" s="39" t="s">
        <v>52</v>
      </c>
      <c r="B250" s="35" t="s">
        <v>44</v>
      </c>
      <c r="C250" s="35" t="s">
        <v>45</v>
      </c>
      <c r="D250" s="35" t="s">
        <v>46</v>
      </c>
      <c r="E250" s="35" t="s">
        <v>47</v>
      </c>
      <c r="F250" s="36" t="s">
        <v>56</v>
      </c>
      <c r="G250" s="60" t="s">
        <v>72</v>
      </c>
    </row>
    <row r="251" spans="1:8" x14ac:dyDescent="0.55000000000000004">
      <c r="A251" s="40" t="s">
        <v>48</v>
      </c>
      <c r="B251" s="37">
        <f>AVERAGE(Tabla269161967[Height (mm)])</f>
        <v>55.611111111111114</v>
      </c>
      <c r="C251" s="37">
        <f>AVERAGE(Tabla269161967[Width (mm)])</f>
        <v>67.777777777777771</v>
      </c>
      <c r="D251" s="37">
        <f>MAX(Tabla269161967[[Cluster number ]])</f>
        <v>11</v>
      </c>
      <c r="E251" s="37">
        <f>AVERAGE(Tabla269161967[Tomato average weight per cluster])</f>
        <v>136.66136363636363</v>
      </c>
      <c r="F251" s="38">
        <f>COUNTA(Tabla269161967["C16" PLANT])</f>
        <v>54</v>
      </c>
      <c r="G251" s="59">
        <f>SUM(Tabla269161967[Total cluster weight (g)])</f>
        <v>7368</v>
      </c>
    </row>
    <row r="253" spans="1:8" x14ac:dyDescent="0.55000000000000004">
      <c r="A253" s="3" t="s">
        <v>12</v>
      </c>
      <c r="B253" t="s">
        <v>2</v>
      </c>
      <c r="C253" t="s">
        <v>3</v>
      </c>
      <c r="D253" t="s">
        <v>4</v>
      </c>
      <c r="E253" t="s">
        <v>5</v>
      </c>
      <c r="F253" t="s">
        <v>6</v>
      </c>
      <c r="G253" t="s">
        <v>7</v>
      </c>
      <c r="H253" t="s">
        <v>43</v>
      </c>
    </row>
    <row r="254" spans="1:8" x14ac:dyDescent="0.55000000000000004">
      <c r="A254" s="41" t="s">
        <v>105</v>
      </c>
      <c r="B254" s="7">
        <v>50</v>
      </c>
      <c r="C254" s="7">
        <v>59</v>
      </c>
      <c r="D254" s="14" t="s">
        <v>17</v>
      </c>
      <c r="E254" s="7">
        <v>1</v>
      </c>
      <c r="F254" s="7" t="s">
        <v>16</v>
      </c>
      <c r="G254" s="7"/>
      <c r="H254" s="50"/>
    </row>
    <row r="255" spans="1:8" x14ac:dyDescent="0.55000000000000004">
      <c r="A255" s="41" t="s">
        <v>98</v>
      </c>
      <c r="B255" s="7">
        <v>52</v>
      </c>
      <c r="C255" s="7">
        <v>61</v>
      </c>
      <c r="D255" s="14" t="s">
        <v>17</v>
      </c>
      <c r="E255" s="7">
        <v>1</v>
      </c>
      <c r="F255" s="7" t="s">
        <v>16</v>
      </c>
      <c r="G255" s="7"/>
      <c r="H255" s="50"/>
    </row>
    <row r="256" spans="1:8" x14ac:dyDescent="0.55000000000000004">
      <c r="A256" s="41" t="s">
        <v>93</v>
      </c>
      <c r="B256" s="7">
        <v>54</v>
      </c>
      <c r="C256" s="7">
        <v>67</v>
      </c>
      <c r="D256" s="14" t="s">
        <v>17</v>
      </c>
      <c r="E256" s="7">
        <v>1</v>
      </c>
      <c r="F256" s="7" t="s">
        <v>16</v>
      </c>
      <c r="G256" s="7"/>
      <c r="H256" s="50"/>
    </row>
    <row r="257" spans="1:8" x14ac:dyDescent="0.55000000000000004">
      <c r="A257" s="41" t="s">
        <v>77</v>
      </c>
      <c r="B257" s="7">
        <v>54</v>
      </c>
      <c r="C257" s="7">
        <v>70</v>
      </c>
      <c r="D257" s="14" t="s">
        <v>17</v>
      </c>
      <c r="E257" s="7">
        <v>1</v>
      </c>
      <c r="F257" s="7" t="s">
        <v>16</v>
      </c>
      <c r="G257" s="7"/>
      <c r="H257" s="50"/>
    </row>
    <row r="258" spans="1:8" ht="14.7" thickBot="1" x14ac:dyDescent="0.6">
      <c r="A258" s="55" t="s">
        <v>83</v>
      </c>
      <c r="B258" s="12">
        <v>55</v>
      </c>
      <c r="C258" s="12">
        <v>69</v>
      </c>
      <c r="D258" s="16" t="s">
        <v>17</v>
      </c>
      <c r="E258" s="7">
        <v>1</v>
      </c>
      <c r="F258" s="12" t="s">
        <v>16</v>
      </c>
      <c r="G258" s="12">
        <v>605</v>
      </c>
      <c r="H258" s="58">
        <f>Tabla269162068[[#This Row],[Total cluster weight (g)]]/COUNTA(A254:A258)</f>
        <v>121</v>
      </c>
    </row>
    <row r="259" spans="1:8" x14ac:dyDescent="0.55000000000000004">
      <c r="A259" s="4" t="s">
        <v>84</v>
      </c>
      <c r="B259" s="7">
        <v>52</v>
      </c>
      <c r="C259" s="7">
        <v>61</v>
      </c>
      <c r="D259" s="67" t="s">
        <v>17</v>
      </c>
      <c r="E259" s="7">
        <v>2</v>
      </c>
      <c r="F259" s="7" t="s">
        <v>15</v>
      </c>
      <c r="G259" s="7"/>
      <c r="H259" s="50"/>
    </row>
    <row r="260" spans="1:8" x14ac:dyDescent="0.55000000000000004">
      <c r="A260" s="8" t="s">
        <v>85</v>
      </c>
      <c r="B260" s="7">
        <v>51</v>
      </c>
      <c r="C260" s="7">
        <v>62</v>
      </c>
      <c r="D260" s="67" t="s">
        <v>17</v>
      </c>
      <c r="E260" s="7">
        <v>2</v>
      </c>
      <c r="F260" s="7" t="s">
        <v>15</v>
      </c>
      <c r="G260" s="7"/>
      <c r="H260" s="50"/>
    </row>
    <row r="261" spans="1:8" x14ac:dyDescent="0.55000000000000004">
      <c r="A261" s="8" t="s">
        <v>86</v>
      </c>
      <c r="B261" s="7">
        <v>51</v>
      </c>
      <c r="C261" s="7">
        <v>65</v>
      </c>
      <c r="D261" s="67" t="s">
        <v>17</v>
      </c>
      <c r="E261" s="7">
        <v>2</v>
      </c>
      <c r="F261" s="7" t="s">
        <v>16</v>
      </c>
      <c r="G261" s="7"/>
      <c r="H261" s="50"/>
    </row>
    <row r="262" spans="1:8" x14ac:dyDescent="0.55000000000000004">
      <c r="A262" s="9" t="s">
        <v>87</v>
      </c>
      <c r="B262" s="7">
        <v>54</v>
      </c>
      <c r="C262" s="7">
        <v>65</v>
      </c>
      <c r="D262" s="67" t="s">
        <v>17</v>
      </c>
      <c r="E262" s="7">
        <v>2</v>
      </c>
      <c r="F262" s="7" t="s">
        <v>16</v>
      </c>
      <c r="G262" s="7"/>
      <c r="H262" s="50"/>
    </row>
    <row r="263" spans="1:8" ht="14.7" thickBot="1" x14ac:dyDescent="0.6">
      <c r="A263" s="11" t="s">
        <v>88</v>
      </c>
      <c r="B263" s="12">
        <v>54</v>
      </c>
      <c r="C263" s="12">
        <v>67</v>
      </c>
      <c r="D263" s="81" t="s">
        <v>17</v>
      </c>
      <c r="E263" s="7">
        <v>2</v>
      </c>
      <c r="F263" s="12" t="s">
        <v>16</v>
      </c>
      <c r="G263" s="12">
        <v>611</v>
      </c>
      <c r="H263" s="58">
        <f>Tabla269162068[[#This Row],[Total cluster weight (g)]]/COUNTA(A259:A263)</f>
        <v>122.2</v>
      </c>
    </row>
    <row r="264" spans="1:8" x14ac:dyDescent="0.55000000000000004">
      <c r="A264" s="41" t="s">
        <v>89</v>
      </c>
      <c r="B264" s="7">
        <v>53</v>
      </c>
      <c r="C264" s="7">
        <v>60</v>
      </c>
      <c r="D264" s="99" t="s">
        <v>17</v>
      </c>
      <c r="E264" s="7">
        <v>3</v>
      </c>
      <c r="F264" s="7" t="s">
        <v>15</v>
      </c>
      <c r="G264" s="7"/>
      <c r="H264" s="50"/>
    </row>
    <row r="265" spans="1:8" x14ac:dyDescent="0.55000000000000004">
      <c r="A265" s="41" t="s">
        <v>99</v>
      </c>
      <c r="B265" s="7">
        <v>56</v>
      </c>
      <c r="C265" s="7">
        <v>64</v>
      </c>
      <c r="D265" s="99" t="s">
        <v>17</v>
      </c>
      <c r="E265" s="7">
        <v>3</v>
      </c>
      <c r="F265" s="7" t="s">
        <v>15</v>
      </c>
      <c r="G265" s="7"/>
      <c r="H265" s="50"/>
    </row>
    <row r="266" spans="1:8" x14ac:dyDescent="0.55000000000000004">
      <c r="A266" s="41" t="s">
        <v>91</v>
      </c>
      <c r="B266" s="7">
        <v>54</v>
      </c>
      <c r="C266" s="7">
        <v>65</v>
      </c>
      <c r="D266" s="99" t="s">
        <v>17</v>
      </c>
      <c r="E266" s="7">
        <v>3</v>
      </c>
      <c r="F266" s="7" t="s">
        <v>15</v>
      </c>
      <c r="G266" s="7"/>
      <c r="H266" s="50"/>
    </row>
    <row r="267" spans="1:8" ht="14.7" thickBot="1" x14ac:dyDescent="0.6">
      <c r="A267" s="55" t="s">
        <v>92</v>
      </c>
      <c r="B267" s="12">
        <v>54</v>
      </c>
      <c r="C267" s="12">
        <v>60</v>
      </c>
      <c r="D267" s="98" t="s">
        <v>17</v>
      </c>
      <c r="E267" s="7">
        <v>3</v>
      </c>
      <c r="F267" s="12" t="s">
        <v>15</v>
      </c>
      <c r="G267" s="12">
        <v>458</v>
      </c>
      <c r="H267" s="58">
        <f>Tabla269162068[[#This Row],[Total cluster weight (g)]]/COUNTA(A264:A267)</f>
        <v>114.5</v>
      </c>
    </row>
    <row r="268" spans="1:8" x14ac:dyDescent="0.55000000000000004">
      <c r="A268" s="41" t="s">
        <v>94</v>
      </c>
      <c r="B268" s="7">
        <v>49</v>
      </c>
      <c r="C268" s="7">
        <v>57</v>
      </c>
      <c r="D268" s="67" t="s">
        <v>17</v>
      </c>
      <c r="E268" s="7">
        <v>4</v>
      </c>
      <c r="F268" s="7" t="s">
        <v>129</v>
      </c>
      <c r="G268" s="7"/>
      <c r="H268" s="50"/>
    </row>
    <row r="269" spans="1:8" x14ac:dyDescent="0.55000000000000004">
      <c r="A269" s="41" t="s">
        <v>95</v>
      </c>
      <c r="B269" s="7">
        <v>51</v>
      </c>
      <c r="C269" s="7">
        <v>65</v>
      </c>
      <c r="D269" s="67" t="s">
        <v>17</v>
      </c>
      <c r="E269" s="7">
        <v>4</v>
      </c>
      <c r="F269" s="7" t="s">
        <v>16</v>
      </c>
      <c r="G269" s="7"/>
      <c r="H269" s="50"/>
    </row>
    <row r="270" spans="1:8" x14ac:dyDescent="0.55000000000000004">
      <c r="A270" s="41" t="s">
        <v>107</v>
      </c>
      <c r="B270" s="7">
        <v>54</v>
      </c>
      <c r="C270" s="7">
        <v>63</v>
      </c>
      <c r="D270" s="67" t="s">
        <v>17</v>
      </c>
      <c r="E270" s="7">
        <v>4</v>
      </c>
      <c r="F270" s="7" t="s">
        <v>16</v>
      </c>
      <c r="G270" s="7"/>
      <c r="H270" s="50"/>
    </row>
    <row r="271" spans="1:8" x14ac:dyDescent="0.55000000000000004">
      <c r="A271" s="41" t="s">
        <v>108</v>
      </c>
      <c r="B271" s="7">
        <v>53</v>
      </c>
      <c r="C271" s="7">
        <v>63</v>
      </c>
      <c r="D271" s="67" t="s">
        <v>17</v>
      </c>
      <c r="E271" s="7">
        <v>4</v>
      </c>
      <c r="F271" s="7" t="s">
        <v>16</v>
      </c>
      <c r="G271" s="7"/>
      <c r="H271" s="50"/>
    </row>
    <row r="272" spans="1:8" x14ac:dyDescent="0.55000000000000004">
      <c r="A272" s="41" t="s">
        <v>109</v>
      </c>
      <c r="B272" s="7">
        <v>54</v>
      </c>
      <c r="C272" s="7">
        <v>66</v>
      </c>
      <c r="D272" s="67" t="s">
        <v>17</v>
      </c>
      <c r="E272" s="7">
        <v>4</v>
      </c>
      <c r="F272" s="7" t="s">
        <v>16</v>
      </c>
      <c r="G272" s="7"/>
      <c r="H272" s="50"/>
    </row>
    <row r="273" spans="1:8" ht="14.7" thickBot="1" x14ac:dyDescent="0.6">
      <c r="A273" s="55" t="s">
        <v>110</v>
      </c>
      <c r="B273" s="12">
        <v>53</v>
      </c>
      <c r="C273" s="12">
        <v>69</v>
      </c>
      <c r="D273" s="81" t="s">
        <v>17</v>
      </c>
      <c r="E273" s="7">
        <v>4</v>
      </c>
      <c r="F273" s="12" t="s">
        <v>16</v>
      </c>
      <c r="G273" s="12">
        <v>734.5</v>
      </c>
      <c r="H273" s="58">
        <f>Tabla269162068[[#This Row],[Total cluster weight (g)]]/COUNTA(A268:A273)</f>
        <v>122.41666666666667</v>
      </c>
    </row>
    <row r="274" spans="1:8" x14ac:dyDescent="0.55000000000000004">
      <c r="A274" s="41" t="s">
        <v>111</v>
      </c>
      <c r="B274" s="10">
        <v>54</v>
      </c>
      <c r="C274" s="10">
        <v>63</v>
      </c>
      <c r="D274" s="71" t="s">
        <v>17</v>
      </c>
      <c r="E274" s="10">
        <v>5</v>
      </c>
      <c r="F274" s="10" t="s">
        <v>16</v>
      </c>
      <c r="G274" s="10"/>
      <c r="H274" s="54"/>
    </row>
    <row r="275" spans="1:8" x14ac:dyDescent="0.55000000000000004">
      <c r="A275" s="41" t="s">
        <v>119</v>
      </c>
      <c r="B275" s="7">
        <v>54</v>
      </c>
      <c r="C275" s="7">
        <v>60</v>
      </c>
      <c r="D275" s="67" t="s">
        <v>17</v>
      </c>
      <c r="E275" s="10">
        <v>5</v>
      </c>
      <c r="F275" s="7" t="s">
        <v>16</v>
      </c>
      <c r="G275" s="7"/>
      <c r="H275" s="50"/>
    </row>
    <row r="276" spans="1:8" x14ac:dyDescent="0.55000000000000004">
      <c r="A276" s="41" t="s">
        <v>120</v>
      </c>
      <c r="B276" s="7">
        <v>53</v>
      </c>
      <c r="C276" s="7">
        <v>62</v>
      </c>
      <c r="D276" s="67" t="s">
        <v>17</v>
      </c>
      <c r="E276" s="10">
        <v>5</v>
      </c>
      <c r="F276" s="7" t="s">
        <v>16</v>
      </c>
      <c r="G276" s="7"/>
      <c r="H276" s="50"/>
    </row>
    <row r="277" spans="1:8" ht="14.7" thickBot="1" x14ac:dyDescent="0.6">
      <c r="A277" s="55" t="s">
        <v>121</v>
      </c>
      <c r="B277" s="12">
        <v>52</v>
      </c>
      <c r="C277" s="12">
        <v>63</v>
      </c>
      <c r="D277" s="81" t="s">
        <v>17</v>
      </c>
      <c r="E277" s="10">
        <v>5</v>
      </c>
      <c r="F277" s="12" t="s">
        <v>16</v>
      </c>
      <c r="G277" s="12">
        <v>470</v>
      </c>
      <c r="H277" s="58">
        <f>Tabla269162068[[#This Row],[Total cluster weight (g)]]/COUNTA(A274:A277)</f>
        <v>117.5</v>
      </c>
    </row>
    <row r="278" spans="1:8" x14ac:dyDescent="0.55000000000000004">
      <c r="A278" s="41" t="s">
        <v>122</v>
      </c>
      <c r="B278" s="7">
        <v>49</v>
      </c>
      <c r="C278" s="7">
        <v>57</v>
      </c>
      <c r="D278" s="67" t="s">
        <v>17</v>
      </c>
      <c r="E278" s="7">
        <v>6</v>
      </c>
      <c r="F278" s="7" t="s">
        <v>15</v>
      </c>
      <c r="G278" s="7"/>
      <c r="H278" s="50"/>
    </row>
    <row r="279" spans="1:8" x14ac:dyDescent="0.55000000000000004">
      <c r="A279" s="41" t="s">
        <v>123</v>
      </c>
      <c r="B279" s="7">
        <v>51</v>
      </c>
      <c r="C279" s="7">
        <v>62</v>
      </c>
      <c r="D279" s="67" t="s">
        <v>17</v>
      </c>
      <c r="E279" s="7">
        <v>6</v>
      </c>
      <c r="F279" s="7" t="s">
        <v>16</v>
      </c>
      <c r="G279" s="7"/>
      <c r="H279" s="50"/>
    </row>
    <row r="280" spans="1:8" x14ac:dyDescent="0.55000000000000004">
      <c r="A280" s="41" t="s">
        <v>124</v>
      </c>
      <c r="B280" s="7">
        <v>52</v>
      </c>
      <c r="C280" s="7">
        <v>60</v>
      </c>
      <c r="D280" s="67" t="s">
        <v>17</v>
      </c>
      <c r="E280" s="7">
        <v>6</v>
      </c>
      <c r="F280" s="7" t="s">
        <v>16</v>
      </c>
      <c r="G280" s="7"/>
      <c r="H280" s="50"/>
    </row>
    <row r="281" spans="1:8" x14ac:dyDescent="0.55000000000000004">
      <c r="A281" s="41" t="s">
        <v>125</v>
      </c>
      <c r="B281" s="7">
        <v>51</v>
      </c>
      <c r="C281" s="7">
        <v>67</v>
      </c>
      <c r="D281" s="67" t="s">
        <v>17</v>
      </c>
      <c r="E281" s="7">
        <v>6</v>
      </c>
      <c r="F281" s="7" t="s">
        <v>16</v>
      </c>
      <c r="G281" s="7"/>
      <c r="H281" s="50"/>
    </row>
    <row r="282" spans="1:8" ht="14.7" thickBot="1" x14ac:dyDescent="0.6">
      <c r="A282" s="55" t="s">
        <v>126</v>
      </c>
      <c r="B282" s="12">
        <v>52</v>
      </c>
      <c r="C282" s="12">
        <v>67</v>
      </c>
      <c r="D282" s="81" t="s">
        <v>17</v>
      </c>
      <c r="E282" s="7">
        <v>6</v>
      </c>
      <c r="F282" s="12" t="s">
        <v>16</v>
      </c>
      <c r="G282" s="12">
        <v>500</v>
      </c>
      <c r="H282" s="58">
        <f>Tabla269162068[[#This Row],[Total cluster weight (g)]]/COUNTA(A278:A282)</f>
        <v>100</v>
      </c>
    </row>
    <row r="283" spans="1:8" x14ac:dyDescent="0.55000000000000004">
      <c r="A283" s="41" t="s">
        <v>127</v>
      </c>
      <c r="B283" s="7">
        <v>50</v>
      </c>
      <c r="C283" s="7">
        <v>57</v>
      </c>
      <c r="D283" s="67" t="s">
        <v>17</v>
      </c>
      <c r="E283" s="7">
        <v>7</v>
      </c>
      <c r="F283" s="7" t="s">
        <v>15</v>
      </c>
      <c r="G283" s="7"/>
      <c r="H283" s="50"/>
    </row>
    <row r="284" spans="1:8" x14ac:dyDescent="0.55000000000000004">
      <c r="A284" s="41" t="s">
        <v>128</v>
      </c>
      <c r="B284" s="7">
        <v>53</v>
      </c>
      <c r="C284" s="7">
        <v>60</v>
      </c>
      <c r="D284" s="67" t="s">
        <v>17</v>
      </c>
      <c r="E284" s="7">
        <v>7</v>
      </c>
      <c r="F284" s="7" t="s">
        <v>15</v>
      </c>
      <c r="G284" s="7"/>
      <c r="H284" s="50"/>
    </row>
    <row r="285" spans="1:8" x14ac:dyDescent="0.55000000000000004">
      <c r="A285" s="41" t="s">
        <v>131</v>
      </c>
      <c r="B285" s="7">
        <v>54</v>
      </c>
      <c r="C285" s="7">
        <v>61</v>
      </c>
      <c r="D285" s="67" t="s">
        <v>17</v>
      </c>
      <c r="E285" s="7">
        <v>7</v>
      </c>
      <c r="F285" s="7" t="s">
        <v>15</v>
      </c>
      <c r="G285" s="7"/>
      <c r="H285" s="50"/>
    </row>
    <row r="286" spans="1:8" x14ac:dyDescent="0.55000000000000004">
      <c r="A286" s="41" t="s">
        <v>132</v>
      </c>
      <c r="B286" s="7">
        <v>54</v>
      </c>
      <c r="C286" s="7">
        <v>61</v>
      </c>
      <c r="D286" s="67" t="s">
        <v>17</v>
      </c>
      <c r="E286" s="7">
        <v>7</v>
      </c>
      <c r="F286" s="7" t="s">
        <v>16</v>
      </c>
      <c r="G286" s="7"/>
      <c r="H286" s="50"/>
    </row>
    <row r="287" spans="1:8" x14ac:dyDescent="0.55000000000000004">
      <c r="A287" s="41" t="s">
        <v>133</v>
      </c>
      <c r="B287" s="7">
        <v>54</v>
      </c>
      <c r="C287" s="7">
        <v>62</v>
      </c>
      <c r="D287" s="67" t="s">
        <v>17</v>
      </c>
      <c r="E287" s="7">
        <v>7</v>
      </c>
      <c r="F287" s="7" t="s">
        <v>16</v>
      </c>
      <c r="G287" s="7"/>
      <c r="H287" s="50"/>
    </row>
    <row r="288" spans="1:8" ht="14.7" thickBot="1" x14ac:dyDescent="0.6">
      <c r="A288" s="55" t="s">
        <v>134</v>
      </c>
      <c r="B288" s="12">
        <v>54</v>
      </c>
      <c r="C288" s="12">
        <v>60</v>
      </c>
      <c r="D288" s="81" t="s">
        <v>17</v>
      </c>
      <c r="E288" s="7">
        <v>7</v>
      </c>
      <c r="F288" s="12" t="s">
        <v>16</v>
      </c>
      <c r="G288" s="12">
        <v>622.5</v>
      </c>
      <c r="H288" s="58">
        <f>Tabla269162068[[#This Row],[Total cluster weight (g)]]/COUNTA(A283:A288)</f>
        <v>103.75</v>
      </c>
    </row>
    <row r="289" spans="1:9" x14ac:dyDescent="0.55000000000000004">
      <c r="A289" s="4" t="s">
        <v>135</v>
      </c>
      <c r="B289" s="7">
        <v>52</v>
      </c>
      <c r="C289" s="7">
        <v>55</v>
      </c>
      <c r="D289" s="14" t="s">
        <v>17</v>
      </c>
      <c r="E289" s="7">
        <v>8</v>
      </c>
      <c r="F289" s="7" t="s">
        <v>16</v>
      </c>
      <c r="G289" s="7"/>
      <c r="H289" s="50"/>
    </row>
    <row r="290" spans="1:9" x14ac:dyDescent="0.55000000000000004">
      <c r="A290" s="8" t="s">
        <v>136</v>
      </c>
      <c r="B290" s="7">
        <v>52</v>
      </c>
      <c r="C290" s="7">
        <v>62</v>
      </c>
      <c r="D290" s="14" t="s">
        <v>17</v>
      </c>
      <c r="E290" s="7">
        <v>8</v>
      </c>
      <c r="F290" s="7" t="s">
        <v>16</v>
      </c>
      <c r="G290" s="7"/>
      <c r="H290" s="50"/>
    </row>
    <row r="291" spans="1:9" x14ac:dyDescent="0.55000000000000004">
      <c r="A291" s="8" t="s">
        <v>137</v>
      </c>
      <c r="B291" s="7">
        <v>54</v>
      </c>
      <c r="C291" s="7">
        <v>63</v>
      </c>
      <c r="D291" s="14" t="s">
        <v>17</v>
      </c>
      <c r="E291" s="7">
        <v>8</v>
      </c>
      <c r="F291" s="7" t="s">
        <v>16</v>
      </c>
      <c r="G291" s="7"/>
      <c r="H291" s="50"/>
      <c r="I291" s="77"/>
    </row>
    <row r="292" spans="1:9" x14ac:dyDescent="0.55000000000000004">
      <c r="A292" s="9" t="s">
        <v>138</v>
      </c>
      <c r="B292" s="7">
        <v>54</v>
      </c>
      <c r="C292" s="7">
        <v>60</v>
      </c>
      <c r="D292" s="14" t="s">
        <v>17</v>
      </c>
      <c r="E292" s="7">
        <v>8</v>
      </c>
      <c r="F292" s="7" t="s">
        <v>16</v>
      </c>
      <c r="G292" s="7"/>
      <c r="H292" s="50"/>
    </row>
    <row r="293" spans="1:9" ht="14.7" thickBot="1" x14ac:dyDescent="0.6">
      <c r="A293" s="11" t="s">
        <v>139</v>
      </c>
      <c r="B293" s="12">
        <v>56</v>
      </c>
      <c r="C293" s="12">
        <v>65</v>
      </c>
      <c r="D293" s="16" t="s">
        <v>17</v>
      </c>
      <c r="E293" s="7">
        <v>8</v>
      </c>
      <c r="F293" s="12" t="s">
        <v>16</v>
      </c>
      <c r="G293" s="12">
        <v>543</v>
      </c>
      <c r="H293" s="58">
        <f>Tabla269162068[[#This Row],[Total cluster weight (g)]]/COUNTA(A289:A293)</f>
        <v>108.6</v>
      </c>
    </row>
    <row r="294" spans="1:9" x14ac:dyDescent="0.55000000000000004">
      <c r="A294" s="4" t="s">
        <v>182</v>
      </c>
      <c r="B294" s="7">
        <v>52</v>
      </c>
      <c r="C294" s="7">
        <v>58</v>
      </c>
      <c r="D294" s="14" t="s">
        <v>17</v>
      </c>
      <c r="E294" s="7">
        <v>9</v>
      </c>
      <c r="F294" s="7" t="s">
        <v>15</v>
      </c>
      <c r="G294" s="7"/>
      <c r="H294" s="50"/>
    </row>
    <row r="295" spans="1:9" x14ac:dyDescent="0.55000000000000004">
      <c r="A295" s="8" t="s">
        <v>155</v>
      </c>
      <c r="B295" s="7">
        <v>55</v>
      </c>
      <c r="C295" s="7">
        <v>62</v>
      </c>
      <c r="D295" s="14" t="s">
        <v>17</v>
      </c>
      <c r="E295" s="7">
        <v>9</v>
      </c>
      <c r="F295" s="7" t="s">
        <v>16</v>
      </c>
      <c r="G295" s="7"/>
      <c r="H295" s="50"/>
    </row>
    <row r="296" spans="1:9" x14ac:dyDescent="0.55000000000000004">
      <c r="A296" s="8" t="s">
        <v>177</v>
      </c>
      <c r="B296" s="7">
        <v>56</v>
      </c>
      <c r="C296" s="7">
        <v>65</v>
      </c>
      <c r="D296" s="14" t="s">
        <v>17</v>
      </c>
      <c r="E296" s="7">
        <v>9</v>
      </c>
      <c r="F296" s="7" t="s">
        <v>16</v>
      </c>
      <c r="G296" s="7"/>
      <c r="H296" s="50"/>
    </row>
    <row r="297" spans="1:9" x14ac:dyDescent="0.55000000000000004">
      <c r="A297" s="9" t="s">
        <v>144</v>
      </c>
      <c r="B297" s="7">
        <v>55</v>
      </c>
      <c r="C297" s="7">
        <v>69</v>
      </c>
      <c r="D297" s="14" t="s">
        <v>17</v>
      </c>
      <c r="E297" s="7">
        <v>9</v>
      </c>
      <c r="F297" s="7" t="s">
        <v>15</v>
      </c>
      <c r="G297" s="7"/>
      <c r="H297" s="50"/>
    </row>
    <row r="298" spans="1:9" ht="14.7" thickBot="1" x14ac:dyDescent="0.6">
      <c r="A298" s="11" t="s">
        <v>145</v>
      </c>
      <c r="B298" s="12">
        <v>54</v>
      </c>
      <c r="C298" s="12">
        <v>63</v>
      </c>
      <c r="D298" s="16" t="s">
        <v>17</v>
      </c>
      <c r="E298" s="7">
        <v>9</v>
      </c>
      <c r="F298" s="12" t="s">
        <v>16</v>
      </c>
      <c r="G298" s="12">
        <v>545.5</v>
      </c>
      <c r="H298" s="58">
        <f>Tabla269162068[[#This Row],[Total cluster weight (g)]]/COUNTA(A294:A298)</f>
        <v>109.1</v>
      </c>
    </row>
    <row r="299" spans="1:9" x14ac:dyDescent="0.55000000000000004">
      <c r="A299" s="41" t="s">
        <v>146</v>
      </c>
      <c r="B299" s="7">
        <v>56</v>
      </c>
      <c r="C299" s="7">
        <v>61</v>
      </c>
      <c r="D299" s="14" t="s">
        <v>17</v>
      </c>
      <c r="E299" s="7">
        <v>10</v>
      </c>
      <c r="F299" s="7" t="s">
        <v>16</v>
      </c>
      <c r="G299" s="7"/>
      <c r="H299" s="50"/>
    </row>
    <row r="300" spans="1:9" x14ac:dyDescent="0.55000000000000004">
      <c r="A300" s="41" t="s">
        <v>148</v>
      </c>
      <c r="B300" s="7">
        <v>57</v>
      </c>
      <c r="C300" s="7">
        <v>62</v>
      </c>
      <c r="D300" s="14" t="s">
        <v>17</v>
      </c>
      <c r="E300" s="7">
        <v>10</v>
      </c>
      <c r="F300" s="7" t="s">
        <v>16</v>
      </c>
      <c r="G300" s="7"/>
      <c r="H300" s="50"/>
    </row>
    <row r="301" spans="1:9" x14ac:dyDescent="0.55000000000000004">
      <c r="A301" s="41" t="s">
        <v>149</v>
      </c>
      <c r="B301" s="7">
        <v>57</v>
      </c>
      <c r="C301" s="7">
        <v>69</v>
      </c>
      <c r="D301" s="14" t="s">
        <v>17</v>
      </c>
      <c r="E301" s="7">
        <v>10</v>
      </c>
      <c r="F301" s="7" t="s">
        <v>16</v>
      </c>
      <c r="G301" s="7"/>
      <c r="H301" s="50"/>
    </row>
    <row r="302" spans="1:9" x14ac:dyDescent="0.55000000000000004">
      <c r="A302" s="41" t="s">
        <v>150</v>
      </c>
      <c r="B302" s="7">
        <v>58</v>
      </c>
      <c r="C302" s="7">
        <v>64</v>
      </c>
      <c r="D302" s="14" t="s">
        <v>17</v>
      </c>
      <c r="E302" s="7">
        <v>10</v>
      </c>
      <c r="F302" s="7" t="s">
        <v>16</v>
      </c>
      <c r="G302" s="7"/>
      <c r="H302" s="50"/>
    </row>
    <row r="303" spans="1:9" ht="14.7" thickBot="1" x14ac:dyDescent="0.6">
      <c r="A303" s="55" t="s">
        <v>151</v>
      </c>
      <c r="B303" s="12">
        <v>58</v>
      </c>
      <c r="C303" s="12">
        <v>65</v>
      </c>
      <c r="D303" s="16" t="s">
        <v>17</v>
      </c>
      <c r="E303" s="7">
        <v>10</v>
      </c>
      <c r="F303" s="12" t="s">
        <v>16</v>
      </c>
      <c r="G303" s="12">
        <v>585.5</v>
      </c>
      <c r="H303" s="58">
        <f>Tabla269162068[[#This Row],[Total cluster weight (g)]]/COUNTA(A299:A303)</f>
        <v>117.1</v>
      </c>
    </row>
    <row r="304" spans="1:9" x14ac:dyDescent="0.55000000000000004">
      <c r="A304" s="41" t="s">
        <v>152</v>
      </c>
      <c r="B304" s="10">
        <v>52</v>
      </c>
      <c r="C304" s="10">
        <v>59</v>
      </c>
      <c r="D304" s="18" t="s">
        <v>17</v>
      </c>
      <c r="E304" s="10">
        <v>11</v>
      </c>
      <c r="F304" s="10" t="s">
        <v>16</v>
      </c>
      <c r="G304" s="10"/>
      <c r="H304" s="54"/>
    </row>
    <row r="305" spans="1:8" x14ac:dyDescent="0.55000000000000004">
      <c r="A305" s="41" t="s">
        <v>153</v>
      </c>
      <c r="B305" s="7">
        <v>57</v>
      </c>
      <c r="C305" s="7">
        <v>64</v>
      </c>
      <c r="D305" s="14" t="s">
        <v>17</v>
      </c>
      <c r="E305" s="10">
        <v>11</v>
      </c>
      <c r="F305" s="7" t="s">
        <v>16</v>
      </c>
      <c r="G305" s="7"/>
      <c r="H305" s="50"/>
    </row>
    <row r="306" spans="1:8" x14ac:dyDescent="0.55000000000000004">
      <c r="A306" s="41" t="s">
        <v>154</v>
      </c>
      <c r="B306" s="7">
        <v>60</v>
      </c>
      <c r="C306" s="7">
        <v>63</v>
      </c>
      <c r="D306" s="14" t="s">
        <v>17</v>
      </c>
      <c r="E306" s="10">
        <v>11</v>
      </c>
      <c r="F306" s="7" t="s">
        <v>16</v>
      </c>
      <c r="G306" s="7"/>
      <c r="H306" s="50"/>
    </row>
    <row r="307" spans="1:8" ht="14.7" thickBot="1" x14ac:dyDescent="0.6">
      <c r="A307" s="55" t="s">
        <v>164</v>
      </c>
      <c r="B307" s="12">
        <v>59</v>
      </c>
      <c r="C307" s="12">
        <v>64</v>
      </c>
      <c r="D307" s="16" t="s">
        <v>17</v>
      </c>
      <c r="E307" s="10">
        <v>11</v>
      </c>
      <c r="F307" s="12" t="s">
        <v>16</v>
      </c>
      <c r="G307" s="12">
        <v>476</v>
      </c>
      <c r="H307" s="58">
        <f>Tabla269162068[[#This Row],[Total cluster weight (g)]]/COUNTA(A304:A307)</f>
        <v>119</v>
      </c>
    </row>
    <row r="308" spans="1:8" x14ac:dyDescent="0.55000000000000004">
      <c r="A308" s="19"/>
      <c r="B308" s="20"/>
      <c r="C308" s="2"/>
      <c r="D308" s="21"/>
      <c r="E308" s="2"/>
      <c r="F308" s="2"/>
      <c r="G308" s="2"/>
    </row>
    <row r="309" spans="1:8" x14ac:dyDescent="0.55000000000000004">
      <c r="A309" s="39" t="s">
        <v>51</v>
      </c>
      <c r="B309" s="35" t="s">
        <v>44</v>
      </c>
      <c r="C309" s="35" t="s">
        <v>45</v>
      </c>
      <c r="D309" s="35" t="s">
        <v>46</v>
      </c>
      <c r="E309" s="35" t="s">
        <v>47</v>
      </c>
      <c r="F309" s="36" t="s">
        <v>56</v>
      </c>
      <c r="G309" s="60" t="s">
        <v>72</v>
      </c>
    </row>
    <row r="310" spans="1:8" x14ac:dyDescent="0.55000000000000004">
      <c r="A310" s="40" t="s">
        <v>48</v>
      </c>
      <c r="B310" s="37">
        <f>AVERAGE(Tabla269162068[Height (mm)])</f>
        <v>53.685185185185183</v>
      </c>
      <c r="C310" s="37">
        <f>AVERAGE(Tabla269162068[Width (mm)])</f>
        <v>62.833333333333336</v>
      </c>
      <c r="D310" s="37">
        <f>MAX(Tabla269162068[[Cluster number ]])</f>
        <v>11</v>
      </c>
      <c r="E310" s="37">
        <f>AVERAGE(Tabla269162068[Tomato average weight per cluster])</f>
        <v>114.10606060606061</v>
      </c>
      <c r="F310" s="38">
        <f>COUNTA(Tabla269162068["C17" PLANT])</f>
        <v>54</v>
      </c>
      <c r="G310" s="59">
        <f>SUM(Tabla269162068[Total cluster weight (g)])</f>
        <v>6151</v>
      </c>
    </row>
    <row r="312" spans="1:8" x14ac:dyDescent="0.55000000000000004">
      <c r="A312" s="3" t="s">
        <v>13</v>
      </c>
      <c r="B312" t="s">
        <v>2</v>
      </c>
      <c r="C312" t="s">
        <v>3</v>
      </c>
      <c r="D312" t="s">
        <v>4</v>
      </c>
      <c r="E312" t="s">
        <v>5</v>
      </c>
      <c r="F312" t="s">
        <v>6</v>
      </c>
      <c r="G312" t="s">
        <v>7</v>
      </c>
      <c r="H312" s="34" t="s">
        <v>43</v>
      </c>
    </row>
    <row r="313" spans="1:8" x14ac:dyDescent="0.55000000000000004">
      <c r="A313" s="41" t="s">
        <v>79</v>
      </c>
      <c r="B313" s="63">
        <v>34</v>
      </c>
      <c r="C313" s="27">
        <v>46</v>
      </c>
      <c r="D313" s="28" t="s">
        <v>17</v>
      </c>
      <c r="E313" s="27">
        <v>1</v>
      </c>
      <c r="F313" s="13" t="s">
        <v>20</v>
      </c>
      <c r="G313" s="27"/>
      <c r="H313" s="91"/>
    </row>
    <row r="314" spans="1:8" x14ac:dyDescent="0.55000000000000004">
      <c r="A314" s="41" t="s">
        <v>80</v>
      </c>
      <c r="B314" s="63">
        <v>39</v>
      </c>
      <c r="C314" s="27">
        <v>51</v>
      </c>
      <c r="D314" s="28" t="s">
        <v>17</v>
      </c>
      <c r="E314" s="27">
        <v>1</v>
      </c>
      <c r="F314" s="7" t="s">
        <v>23</v>
      </c>
      <c r="G314" s="27"/>
      <c r="H314" s="57"/>
    </row>
    <row r="315" spans="1:8" x14ac:dyDescent="0.55000000000000004">
      <c r="A315" s="41" t="s">
        <v>106</v>
      </c>
      <c r="B315" s="63">
        <v>40</v>
      </c>
      <c r="C315" s="27">
        <v>54</v>
      </c>
      <c r="D315" s="28" t="s">
        <v>17</v>
      </c>
      <c r="E315" s="27">
        <v>1</v>
      </c>
      <c r="F315" s="7" t="s">
        <v>15</v>
      </c>
      <c r="G315" s="27"/>
      <c r="H315" s="57"/>
    </row>
    <row r="316" spans="1:8" x14ac:dyDescent="0.55000000000000004">
      <c r="A316" s="41" t="s">
        <v>41</v>
      </c>
      <c r="B316" s="63">
        <v>46</v>
      </c>
      <c r="C316" s="27">
        <v>60</v>
      </c>
      <c r="D316" s="28" t="s">
        <v>17</v>
      </c>
      <c r="E316" s="27">
        <v>1</v>
      </c>
      <c r="F316" s="7" t="s">
        <v>15</v>
      </c>
      <c r="G316" s="27"/>
      <c r="H316" s="57"/>
    </row>
    <row r="317" spans="1:8" ht="14.7" thickBot="1" x14ac:dyDescent="0.6">
      <c r="A317" s="55" t="s">
        <v>42</v>
      </c>
      <c r="B317" s="65">
        <v>48</v>
      </c>
      <c r="C317" s="15">
        <v>64</v>
      </c>
      <c r="D317" s="17" t="s">
        <v>17</v>
      </c>
      <c r="E317" s="27">
        <v>1</v>
      </c>
      <c r="F317" s="12" t="s">
        <v>15</v>
      </c>
      <c r="G317" s="15">
        <v>363.5</v>
      </c>
      <c r="H317" s="75">
        <f>Tabla269162371[[#This Row],[Total cluster weight (g)]]/COUNTA(A313:A317)</f>
        <v>72.7</v>
      </c>
    </row>
    <row r="318" spans="1:8" x14ac:dyDescent="0.55000000000000004">
      <c r="A318" s="41" t="s">
        <v>63</v>
      </c>
      <c r="B318" s="63">
        <v>47</v>
      </c>
      <c r="C318" s="27">
        <v>62</v>
      </c>
      <c r="D318" s="28" t="s">
        <v>17</v>
      </c>
      <c r="E318" s="27">
        <v>2</v>
      </c>
      <c r="F318" s="10" t="s">
        <v>23</v>
      </c>
      <c r="G318" s="27"/>
      <c r="H318" s="57"/>
    </row>
    <row r="319" spans="1:8" x14ac:dyDescent="0.55000000000000004">
      <c r="A319" s="41" t="s">
        <v>64</v>
      </c>
      <c r="B319" s="63">
        <v>52</v>
      </c>
      <c r="C319" s="27">
        <v>67</v>
      </c>
      <c r="D319" s="28" t="s">
        <v>17</v>
      </c>
      <c r="E319" s="27">
        <v>2</v>
      </c>
      <c r="F319" s="7" t="s">
        <v>16</v>
      </c>
      <c r="G319" s="27"/>
      <c r="H319" s="57"/>
    </row>
    <row r="320" spans="1:8" x14ac:dyDescent="0.55000000000000004">
      <c r="A320" s="41" t="s">
        <v>65</v>
      </c>
      <c r="B320" s="63">
        <v>53</v>
      </c>
      <c r="C320" s="27">
        <v>66</v>
      </c>
      <c r="D320" s="28" t="s">
        <v>17</v>
      </c>
      <c r="E320" s="27">
        <v>2</v>
      </c>
      <c r="F320" s="7" t="s">
        <v>16</v>
      </c>
      <c r="G320" s="27"/>
      <c r="H320" s="57"/>
    </row>
    <row r="321" spans="1:8" x14ac:dyDescent="0.55000000000000004">
      <c r="A321" s="41" t="s">
        <v>66</v>
      </c>
      <c r="B321" s="63">
        <v>54</v>
      </c>
      <c r="C321" s="27">
        <v>70</v>
      </c>
      <c r="D321" s="28" t="s">
        <v>17</v>
      </c>
      <c r="E321" s="27">
        <v>2</v>
      </c>
      <c r="F321" s="7" t="s">
        <v>16</v>
      </c>
      <c r="G321" s="27"/>
      <c r="H321" s="57"/>
    </row>
    <row r="322" spans="1:8" ht="14.7" thickBot="1" x14ac:dyDescent="0.6">
      <c r="A322" s="55" t="s">
        <v>67</v>
      </c>
      <c r="B322" s="65">
        <v>56</v>
      </c>
      <c r="C322" s="15">
        <v>73</v>
      </c>
      <c r="D322" s="17" t="s">
        <v>17</v>
      </c>
      <c r="E322" s="27">
        <v>2</v>
      </c>
      <c r="F322" s="15" t="s">
        <v>16</v>
      </c>
      <c r="G322" s="15">
        <v>664</v>
      </c>
      <c r="H322" s="75">
        <f>Tabla269162371[[#This Row],[Total cluster weight (g)]]/COUNTA(A318:A322)</f>
        <v>132.80000000000001</v>
      </c>
    </row>
    <row r="323" spans="1:8" x14ac:dyDescent="0.55000000000000004">
      <c r="A323" s="41" t="s">
        <v>70</v>
      </c>
      <c r="B323" s="63">
        <v>53</v>
      </c>
      <c r="C323" s="27">
        <v>66</v>
      </c>
      <c r="D323" s="28" t="s">
        <v>17</v>
      </c>
      <c r="E323" s="27">
        <v>3</v>
      </c>
      <c r="F323" s="13" t="s">
        <v>23</v>
      </c>
      <c r="G323" s="27"/>
      <c r="H323" s="57"/>
    </row>
    <row r="324" spans="1:8" x14ac:dyDescent="0.55000000000000004">
      <c r="A324" s="41" t="s">
        <v>71</v>
      </c>
      <c r="B324" s="63">
        <v>54</v>
      </c>
      <c r="C324" s="27">
        <v>68</v>
      </c>
      <c r="D324" s="28" t="s">
        <v>17</v>
      </c>
      <c r="E324" s="27">
        <v>3</v>
      </c>
      <c r="F324" s="7" t="s">
        <v>15</v>
      </c>
      <c r="G324" s="27"/>
      <c r="H324" s="57"/>
    </row>
    <row r="325" spans="1:8" x14ac:dyDescent="0.55000000000000004">
      <c r="A325" s="41" t="s">
        <v>73</v>
      </c>
      <c r="B325" s="63">
        <v>55</v>
      </c>
      <c r="C325" s="27">
        <v>70</v>
      </c>
      <c r="D325" s="28" t="s">
        <v>17</v>
      </c>
      <c r="E325" s="27">
        <v>3</v>
      </c>
      <c r="F325" s="7" t="s">
        <v>15</v>
      </c>
      <c r="G325" s="27"/>
      <c r="H325" s="57"/>
    </row>
    <row r="326" spans="1:8" x14ac:dyDescent="0.55000000000000004">
      <c r="A326" s="41" t="s">
        <v>74</v>
      </c>
      <c r="B326" s="63">
        <v>57</v>
      </c>
      <c r="C326" s="27">
        <v>74</v>
      </c>
      <c r="D326" s="28" t="s">
        <v>17</v>
      </c>
      <c r="E326" s="27">
        <v>3</v>
      </c>
      <c r="F326" s="7" t="s">
        <v>16</v>
      </c>
      <c r="G326" s="27"/>
      <c r="H326" s="57"/>
    </row>
    <row r="327" spans="1:8" ht="14.7" thickBot="1" x14ac:dyDescent="0.6">
      <c r="A327" s="55" t="s">
        <v>75</v>
      </c>
      <c r="B327" s="65">
        <v>55</v>
      </c>
      <c r="C327" s="15">
        <v>75</v>
      </c>
      <c r="D327" s="17" t="s">
        <v>17</v>
      </c>
      <c r="E327" s="27">
        <v>3</v>
      </c>
      <c r="F327" s="15" t="s">
        <v>16</v>
      </c>
      <c r="G327" s="15">
        <v>780.5</v>
      </c>
      <c r="H327" s="75">
        <f>Tabla269162371[[#This Row],[Total cluster weight (g)]]/COUNTA(A323:A327)</f>
        <v>156.1</v>
      </c>
    </row>
    <row r="328" spans="1:8" x14ac:dyDescent="0.55000000000000004">
      <c r="A328" s="41" t="s">
        <v>76</v>
      </c>
      <c r="B328" s="63">
        <v>51</v>
      </c>
      <c r="C328" s="27">
        <v>70</v>
      </c>
      <c r="D328" s="28" t="s">
        <v>17</v>
      </c>
      <c r="E328" s="27">
        <v>4</v>
      </c>
      <c r="F328" s="13" t="s">
        <v>16</v>
      </c>
      <c r="G328" s="27"/>
      <c r="H328" s="57"/>
    </row>
    <row r="329" spans="1:8" x14ac:dyDescent="0.55000000000000004">
      <c r="A329" s="41" t="s">
        <v>77</v>
      </c>
      <c r="B329" s="63">
        <v>57</v>
      </c>
      <c r="C329" s="27">
        <v>68</v>
      </c>
      <c r="D329" s="28" t="s">
        <v>17</v>
      </c>
      <c r="E329" s="27">
        <v>4</v>
      </c>
      <c r="F329" s="7" t="s">
        <v>16</v>
      </c>
      <c r="G329" s="27"/>
      <c r="H329" s="57"/>
    </row>
    <row r="330" spans="1:8" x14ac:dyDescent="0.55000000000000004">
      <c r="A330" s="41" t="s">
        <v>83</v>
      </c>
      <c r="B330" s="63">
        <v>55</v>
      </c>
      <c r="C330" s="27">
        <v>73</v>
      </c>
      <c r="D330" s="28" t="s">
        <v>17</v>
      </c>
      <c r="E330" s="27">
        <v>4</v>
      </c>
      <c r="F330" s="7" t="s">
        <v>16</v>
      </c>
      <c r="G330" s="27"/>
      <c r="H330" s="57"/>
    </row>
    <row r="331" spans="1:8" x14ac:dyDescent="0.55000000000000004">
      <c r="A331" s="41" t="s">
        <v>84</v>
      </c>
      <c r="B331" s="63">
        <v>54</v>
      </c>
      <c r="C331" s="27">
        <v>70</v>
      </c>
      <c r="D331" s="28" t="s">
        <v>17</v>
      </c>
      <c r="E331" s="27">
        <v>4</v>
      </c>
      <c r="F331" s="7" t="s">
        <v>16</v>
      </c>
      <c r="G331" s="27"/>
      <c r="H331" s="57"/>
    </row>
    <row r="332" spans="1:8" ht="14.7" thickBot="1" x14ac:dyDescent="0.6">
      <c r="A332" s="55" t="s">
        <v>85</v>
      </c>
      <c r="B332" s="65">
        <v>55</v>
      </c>
      <c r="C332" s="15">
        <v>73</v>
      </c>
      <c r="D332" s="17" t="s">
        <v>17</v>
      </c>
      <c r="E332" s="27">
        <v>4</v>
      </c>
      <c r="F332" s="12" t="s">
        <v>16</v>
      </c>
      <c r="G332" s="15">
        <v>763</v>
      </c>
      <c r="H332" s="75">
        <f>Tabla269162371[[#This Row],[Total cluster weight (g)]]/COUNTA(A328:A332)</f>
        <v>152.6</v>
      </c>
    </row>
    <row r="333" spans="1:8" x14ac:dyDescent="0.55000000000000004">
      <c r="A333" s="41" t="s">
        <v>86</v>
      </c>
      <c r="B333" s="63">
        <v>53</v>
      </c>
      <c r="C333" s="27">
        <v>70</v>
      </c>
      <c r="D333" s="28" t="s">
        <v>17</v>
      </c>
      <c r="E333" s="27">
        <v>5</v>
      </c>
      <c r="F333" s="10" t="s">
        <v>15</v>
      </c>
      <c r="G333" s="27"/>
      <c r="H333" s="57"/>
    </row>
    <row r="334" spans="1:8" x14ac:dyDescent="0.55000000000000004">
      <c r="A334" s="41" t="s">
        <v>87</v>
      </c>
      <c r="B334" s="63">
        <v>53</v>
      </c>
      <c r="C334" s="27">
        <v>76</v>
      </c>
      <c r="D334" s="28" t="s">
        <v>17</v>
      </c>
      <c r="E334" s="27">
        <v>5</v>
      </c>
      <c r="F334" s="7" t="s">
        <v>15</v>
      </c>
      <c r="G334" s="27"/>
      <c r="H334" s="57"/>
    </row>
    <row r="335" spans="1:8" x14ac:dyDescent="0.55000000000000004">
      <c r="A335" s="41" t="s">
        <v>88</v>
      </c>
      <c r="B335" s="63">
        <v>53</v>
      </c>
      <c r="C335" s="27">
        <v>75</v>
      </c>
      <c r="D335" s="28" t="s">
        <v>17</v>
      </c>
      <c r="E335" s="27">
        <v>5</v>
      </c>
      <c r="F335" s="7" t="s">
        <v>16</v>
      </c>
      <c r="G335" s="27"/>
      <c r="H335" s="57"/>
    </row>
    <row r="336" spans="1:8" x14ac:dyDescent="0.55000000000000004">
      <c r="A336" s="41" t="s">
        <v>89</v>
      </c>
      <c r="B336" s="63">
        <v>54</v>
      </c>
      <c r="C336" s="27">
        <v>71</v>
      </c>
      <c r="D336" s="28" t="s">
        <v>17</v>
      </c>
      <c r="E336" s="27">
        <v>5</v>
      </c>
      <c r="F336" s="7" t="s">
        <v>16</v>
      </c>
      <c r="G336" s="27"/>
      <c r="H336" s="57"/>
    </row>
    <row r="337" spans="1:9" ht="14.7" thickBot="1" x14ac:dyDescent="0.6">
      <c r="A337" s="55" t="s">
        <v>99</v>
      </c>
      <c r="B337" s="65">
        <v>54</v>
      </c>
      <c r="C337" s="15">
        <v>72</v>
      </c>
      <c r="D337" s="17" t="s">
        <v>17</v>
      </c>
      <c r="E337" s="27">
        <v>5</v>
      </c>
      <c r="F337" s="15" t="s">
        <v>16</v>
      </c>
      <c r="G337" s="15">
        <v>769.5</v>
      </c>
      <c r="H337" s="75">
        <f>Tabla269162371[[#This Row],[Total cluster weight (g)]]/COUNTA(A333:A337)</f>
        <v>153.9</v>
      </c>
    </row>
    <row r="338" spans="1:9" x14ac:dyDescent="0.55000000000000004">
      <c r="A338" s="41" t="s">
        <v>91</v>
      </c>
      <c r="B338" s="63">
        <v>54</v>
      </c>
      <c r="C338" s="27">
        <v>70</v>
      </c>
      <c r="D338" s="28" t="s">
        <v>17</v>
      </c>
      <c r="E338" s="27">
        <v>6</v>
      </c>
      <c r="F338" s="13" t="s">
        <v>16</v>
      </c>
      <c r="G338" s="27"/>
      <c r="H338" s="57"/>
    </row>
    <row r="339" spans="1:9" x14ac:dyDescent="0.55000000000000004">
      <c r="A339" s="41" t="s">
        <v>92</v>
      </c>
      <c r="B339" s="63">
        <v>52</v>
      </c>
      <c r="C339" s="27">
        <v>73</v>
      </c>
      <c r="D339" s="28" t="s">
        <v>17</v>
      </c>
      <c r="E339" s="27">
        <v>6</v>
      </c>
      <c r="F339" s="7" t="s">
        <v>16</v>
      </c>
      <c r="G339" s="27"/>
      <c r="H339" s="57"/>
    </row>
    <row r="340" spans="1:9" x14ac:dyDescent="0.55000000000000004">
      <c r="A340" s="41" t="s">
        <v>94</v>
      </c>
      <c r="B340" s="63">
        <v>54</v>
      </c>
      <c r="C340" s="27">
        <v>75</v>
      </c>
      <c r="D340" s="28" t="s">
        <v>17</v>
      </c>
      <c r="E340" s="27">
        <v>6</v>
      </c>
      <c r="F340" s="7" t="s">
        <v>16</v>
      </c>
      <c r="G340" s="27"/>
      <c r="H340" s="57"/>
    </row>
    <row r="341" spans="1:9" x14ac:dyDescent="0.55000000000000004">
      <c r="A341" s="41" t="s">
        <v>95</v>
      </c>
      <c r="B341" s="63">
        <v>54</v>
      </c>
      <c r="C341" s="27">
        <v>66</v>
      </c>
      <c r="D341" s="28" t="s">
        <v>17</v>
      </c>
      <c r="E341" s="27">
        <v>6</v>
      </c>
      <c r="F341" s="7" t="s">
        <v>16</v>
      </c>
      <c r="G341" s="27"/>
      <c r="H341" s="57"/>
    </row>
    <row r="342" spans="1:9" ht="14.7" thickBot="1" x14ac:dyDescent="0.6">
      <c r="A342" s="55" t="s">
        <v>107</v>
      </c>
      <c r="B342" s="65">
        <v>52</v>
      </c>
      <c r="C342" s="15">
        <v>68</v>
      </c>
      <c r="D342" s="17" t="s">
        <v>17</v>
      </c>
      <c r="E342" s="27">
        <v>6</v>
      </c>
      <c r="F342" s="15" t="s">
        <v>16</v>
      </c>
      <c r="G342" s="15">
        <v>693</v>
      </c>
      <c r="H342" s="75">
        <f>Tabla269162371[[#This Row],[Total cluster weight (g)]]/COUNTA(A338:A342)</f>
        <v>138.6</v>
      </c>
    </row>
    <row r="343" spans="1:9" x14ac:dyDescent="0.55000000000000004">
      <c r="A343" s="41" t="s">
        <v>108</v>
      </c>
      <c r="B343" s="63">
        <v>53</v>
      </c>
      <c r="C343" s="27">
        <v>64</v>
      </c>
      <c r="D343" s="28" t="s">
        <v>17</v>
      </c>
      <c r="E343" s="27">
        <v>7</v>
      </c>
      <c r="F343" s="13" t="s">
        <v>15</v>
      </c>
      <c r="G343" s="27"/>
      <c r="H343" s="57"/>
    </row>
    <row r="344" spans="1:9" x14ac:dyDescent="0.55000000000000004">
      <c r="A344" s="41" t="s">
        <v>109</v>
      </c>
      <c r="B344" s="63">
        <v>50</v>
      </c>
      <c r="C344" s="27">
        <v>64</v>
      </c>
      <c r="D344" s="28" t="s">
        <v>17</v>
      </c>
      <c r="E344" s="27">
        <v>7</v>
      </c>
      <c r="F344" s="7" t="s">
        <v>15</v>
      </c>
      <c r="G344" s="27"/>
      <c r="H344" s="57"/>
    </row>
    <row r="345" spans="1:9" x14ac:dyDescent="0.55000000000000004">
      <c r="A345" s="41" t="s">
        <v>110</v>
      </c>
      <c r="B345" s="63">
        <v>52</v>
      </c>
      <c r="C345" s="27">
        <v>66</v>
      </c>
      <c r="D345" s="28" t="s">
        <v>17</v>
      </c>
      <c r="E345" s="27">
        <v>7</v>
      </c>
      <c r="F345" s="7" t="s">
        <v>16</v>
      </c>
      <c r="G345" s="27"/>
      <c r="H345" s="57"/>
    </row>
    <row r="346" spans="1:9" x14ac:dyDescent="0.55000000000000004">
      <c r="A346" s="41" t="s">
        <v>111</v>
      </c>
      <c r="B346" s="63">
        <v>53</v>
      </c>
      <c r="C346" s="27">
        <v>75</v>
      </c>
      <c r="D346" s="28" t="s">
        <v>17</v>
      </c>
      <c r="E346" s="27">
        <v>7</v>
      </c>
      <c r="F346" s="7" t="s">
        <v>16</v>
      </c>
      <c r="G346" s="27"/>
      <c r="H346" s="57"/>
    </row>
    <row r="347" spans="1:9" ht="14.7" thickBot="1" x14ac:dyDescent="0.6">
      <c r="A347" s="55" t="s">
        <v>119</v>
      </c>
      <c r="B347" s="65">
        <v>54</v>
      </c>
      <c r="C347" s="15">
        <v>72</v>
      </c>
      <c r="D347" s="17" t="s">
        <v>17</v>
      </c>
      <c r="E347" s="27">
        <v>7</v>
      </c>
      <c r="F347" s="15" t="s">
        <v>16</v>
      </c>
      <c r="G347" s="15">
        <v>619</v>
      </c>
      <c r="H347" s="75">
        <f>Tabla269162371[[#This Row],[Total cluster weight (g)]]/COUNTA(A343:A347)</f>
        <v>123.8</v>
      </c>
    </row>
    <row r="348" spans="1:9" x14ac:dyDescent="0.55000000000000004">
      <c r="A348" s="4" t="s">
        <v>120</v>
      </c>
      <c r="B348" s="5">
        <v>54</v>
      </c>
      <c r="C348" s="5">
        <v>70</v>
      </c>
      <c r="D348" s="14" t="s">
        <v>17</v>
      </c>
      <c r="E348" s="7">
        <v>8</v>
      </c>
      <c r="F348" s="13" t="s">
        <v>15</v>
      </c>
      <c r="G348" s="7"/>
      <c r="H348" s="57"/>
    </row>
    <row r="349" spans="1:9" x14ac:dyDescent="0.55000000000000004">
      <c r="A349" s="6" t="s">
        <v>121</v>
      </c>
      <c r="B349" s="7">
        <v>54</v>
      </c>
      <c r="C349" s="7">
        <v>67</v>
      </c>
      <c r="D349" s="14" t="s">
        <v>17</v>
      </c>
      <c r="E349" s="7">
        <v>8</v>
      </c>
      <c r="F349" s="7" t="s">
        <v>16</v>
      </c>
      <c r="G349" s="7"/>
      <c r="H349" s="57"/>
    </row>
    <row r="350" spans="1:9" x14ac:dyDescent="0.55000000000000004">
      <c r="A350" s="8" t="s">
        <v>122</v>
      </c>
      <c r="B350" s="7">
        <v>55</v>
      </c>
      <c r="C350" s="7">
        <v>67</v>
      </c>
      <c r="D350" s="14" t="s">
        <v>17</v>
      </c>
      <c r="E350" s="7">
        <v>8</v>
      </c>
      <c r="F350" s="7" t="s">
        <v>16</v>
      </c>
      <c r="G350" s="7"/>
      <c r="H350" s="57"/>
      <c r="I350" s="90"/>
    </row>
    <row r="351" spans="1:9" ht="14.7" thickBot="1" x14ac:dyDescent="0.6">
      <c r="A351" s="9" t="s">
        <v>123</v>
      </c>
      <c r="B351" s="10">
        <v>53</v>
      </c>
      <c r="C351" s="10">
        <v>68</v>
      </c>
      <c r="D351" s="16" t="s">
        <v>17</v>
      </c>
      <c r="E351" s="7">
        <v>8</v>
      </c>
      <c r="F351" s="15" t="s">
        <v>16</v>
      </c>
      <c r="G351" s="12">
        <v>493</v>
      </c>
      <c r="H351" s="75">
        <f>Tabla269162371[[#This Row],[Total cluster weight (g)]]/COUNTA(A348:A351)</f>
        <v>123.25</v>
      </c>
    </row>
    <row r="352" spans="1:9" x14ac:dyDescent="0.55000000000000004">
      <c r="A352" s="24" t="s">
        <v>124</v>
      </c>
      <c r="B352" s="25">
        <v>52</v>
      </c>
      <c r="C352" s="25">
        <v>63</v>
      </c>
      <c r="D352" s="18" t="s">
        <v>17</v>
      </c>
      <c r="E352" s="27">
        <v>9</v>
      </c>
      <c r="F352" s="13" t="s">
        <v>16</v>
      </c>
      <c r="G352" s="27"/>
      <c r="H352" s="57"/>
    </row>
    <row r="353" spans="1:8" x14ac:dyDescent="0.55000000000000004">
      <c r="A353" s="6" t="s">
        <v>125</v>
      </c>
      <c r="B353" s="7">
        <v>51</v>
      </c>
      <c r="C353" s="7">
        <v>67</v>
      </c>
      <c r="D353" s="14" t="s">
        <v>17</v>
      </c>
      <c r="E353" s="27">
        <v>9</v>
      </c>
      <c r="F353" s="7" t="s">
        <v>16</v>
      </c>
      <c r="G353" s="27"/>
      <c r="H353" s="57"/>
    </row>
    <row r="354" spans="1:8" x14ac:dyDescent="0.55000000000000004">
      <c r="A354" s="8" t="s">
        <v>126</v>
      </c>
      <c r="B354" s="7">
        <v>54</v>
      </c>
      <c r="C354" s="7">
        <v>67</v>
      </c>
      <c r="D354" s="14" t="s">
        <v>17</v>
      </c>
      <c r="E354" s="27">
        <v>9</v>
      </c>
      <c r="F354" s="7" t="s">
        <v>15</v>
      </c>
      <c r="G354" s="27"/>
      <c r="H354" s="57"/>
    </row>
    <row r="355" spans="1:8" x14ac:dyDescent="0.55000000000000004">
      <c r="A355" s="8" t="s">
        <v>127</v>
      </c>
      <c r="B355" s="7">
        <v>55</v>
      </c>
      <c r="C355" s="7">
        <v>71</v>
      </c>
      <c r="D355" s="14" t="s">
        <v>17</v>
      </c>
      <c r="E355" s="27">
        <v>9</v>
      </c>
      <c r="F355" s="7" t="s">
        <v>15</v>
      </c>
      <c r="G355" s="27"/>
      <c r="H355" s="57"/>
    </row>
    <row r="356" spans="1:8" ht="14.7" thickBot="1" x14ac:dyDescent="0.6">
      <c r="A356" s="11" t="s">
        <v>128</v>
      </c>
      <c r="B356" s="12">
        <v>53</v>
      </c>
      <c r="C356" s="12">
        <v>67</v>
      </c>
      <c r="D356" s="16" t="s">
        <v>17</v>
      </c>
      <c r="E356" s="27">
        <v>9</v>
      </c>
      <c r="F356" s="15" t="s">
        <v>16</v>
      </c>
      <c r="G356" s="15">
        <v>624.5</v>
      </c>
      <c r="H356" s="75">
        <f>Tabla269162371[[#This Row],[Total cluster weight (g)]]/COUNTA(A352:A356)</f>
        <v>124.9</v>
      </c>
    </row>
    <row r="357" spans="1:8" x14ac:dyDescent="0.55000000000000004">
      <c r="A357" s="4" t="s">
        <v>178</v>
      </c>
      <c r="B357" s="5">
        <v>56</v>
      </c>
      <c r="C357" s="5">
        <v>68</v>
      </c>
      <c r="D357" s="14" t="s">
        <v>17</v>
      </c>
      <c r="E357" s="7">
        <v>10</v>
      </c>
      <c r="F357" s="13" t="s">
        <v>16</v>
      </c>
      <c r="G357" s="7"/>
      <c r="H357" s="91"/>
    </row>
    <row r="358" spans="1:8" x14ac:dyDescent="0.55000000000000004">
      <c r="A358" s="6" t="s">
        <v>192</v>
      </c>
      <c r="B358" s="7">
        <v>54</v>
      </c>
      <c r="C358" s="7">
        <v>71</v>
      </c>
      <c r="D358" s="14" t="s">
        <v>17</v>
      </c>
      <c r="E358" s="7">
        <v>10</v>
      </c>
      <c r="F358" s="7" t="s">
        <v>16</v>
      </c>
      <c r="G358" s="7"/>
      <c r="H358" s="91"/>
    </row>
    <row r="359" spans="1:8" x14ac:dyDescent="0.55000000000000004">
      <c r="A359" s="8" t="s">
        <v>199</v>
      </c>
      <c r="B359" s="7">
        <v>54</v>
      </c>
      <c r="C359" s="7">
        <v>68</v>
      </c>
      <c r="D359" s="14" t="s">
        <v>17</v>
      </c>
      <c r="E359" s="7">
        <v>10</v>
      </c>
      <c r="F359" s="7" t="s">
        <v>16</v>
      </c>
      <c r="G359" s="7"/>
      <c r="H359" s="91"/>
    </row>
    <row r="360" spans="1:8" x14ac:dyDescent="0.55000000000000004">
      <c r="A360" s="9" t="s">
        <v>134</v>
      </c>
      <c r="B360" s="10">
        <v>54</v>
      </c>
      <c r="C360" s="10">
        <v>66</v>
      </c>
      <c r="D360" s="14" t="s">
        <v>17</v>
      </c>
      <c r="E360" s="7">
        <v>10</v>
      </c>
      <c r="F360" s="7" t="s">
        <v>16</v>
      </c>
      <c r="G360" s="7"/>
      <c r="H360" s="91"/>
    </row>
    <row r="361" spans="1:8" ht="14.7" thickBot="1" x14ac:dyDescent="0.6">
      <c r="A361" s="11" t="s">
        <v>135</v>
      </c>
      <c r="B361" s="12">
        <v>54</v>
      </c>
      <c r="C361" s="12">
        <v>62</v>
      </c>
      <c r="D361" s="16" t="s">
        <v>17</v>
      </c>
      <c r="E361" s="7">
        <v>10</v>
      </c>
      <c r="F361" s="15" t="s">
        <v>16</v>
      </c>
      <c r="G361" s="12">
        <v>601</v>
      </c>
      <c r="H361" s="86">
        <f>Tabla269162371[[#This Row],[Total cluster weight (g)]]/COUNTA(A357:A361)</f>
        <v>120.2</v>
      </c>
    </row>
    <row r="362" spans="1:8" x14ac:dyDescent="0.55000000000000004">
      <c r="A362" s="4" t="s">
        <v>136</v>
      </c>
      <c r="B362" s="5">
        <v>50</v>
      </c>
      <c r="C362" s="5">
        <v>62</v>
      </c>
      <c r="D362" s="14" t="s">
        <v>17</v>
      </c>
      <c r="E362" s="7">
        <v>11</v>
      </c>
      <c r="F362" s="13" t="s">
        <v>15</v>
      </c>
      <c r="G362" s="7"/>
      <c r="H362" s="91"/>
    </row>
    <row r="363" spans="1:8" x14ac:dyDescent="0.55000000000000004">
      <c r="A363" s="6" t="s">
        <v>137</v>
      </c>
      <c r="B363" s="7">
        <v>57</v>
      </c>
      <c r="C363" s="7">
        <v>62</v>
      </c>
      <c r="D363" s="14" t="s">
        <v>17</v>
      </c>
      <c r="E363" s="7">
        <v>11</v>
      </c>
      <c r="F363" s="7" t="s">
        <v>16</v>
      </c>
      <c r="G363" s="7"/>
      <c r="H363" s="91"/>
    </row>
    <row r="364" spans="1:8" x14ac:dyDescent="0.55000000000000004">
      <c r="A364" s="8" t="s">
        <v>138</v>
      </c>
      <c r="B364" s="7">
        <v>60</v>
      </c>
      <c r="C364" s="7">
        <v>71</v>
      </c>
      <c r="D364" s="14" t="s">
        <v>17</v>
      </c>
      <c r="E364" s="7">
        <v>11</v>
      </c>
      <c r="F364" s="7" t="s">
        <v>16</v>
      </c>
      <c r="G364" s="7"/>
      <c r="H364" s="91"/>
    </row>
    <row r="365" spans="1:8" x14ac:dyDescent="0.55000000000000004">
      <c r="A365" s="9" t="s">
        <v>139</v>
      </c>
      <c r="B365" s="10">
        <v>58</v>
      </c>
      <c r="C365" s="10">
        <v>65</v>
      </c>
      <c r="D365" s="14" t="s">
        <v>17</v>
      </c>
      <c r="E365" s="7">
        <v>11</v>
      </c>
      <c r="F365" s="7" t="s">
        <v>16</v>
      </c>
      <c r="G365" s="7"/>
      <c r="H365" s="91"/>
    </row>
    <row r="366" spans="1:8" ht="14.7" thickBot="1" x14ac:dyDescent="0.6">
      <c r="A366" s="11" t="s">
        <v>140</v>
      </c>
      <c r="B366" s="12">
        <v>53</v>
      </c>
      <c r="C366" s="12">
        <v>68</v>
      </c>
      <c r="D366" s="16" t="s">
        <v>17</v>
      </c>
      <c r="E366" s="7">
        <v>11</v>
      </c>
      <c r="F366" s="15" t="s">
        <v>16</v>
      </c>
      <c r="G366" s="12">
        <v>614</v>
      </c>
      <c r="H366" s="86">
        <f>Tabla269162371[[#This Row],[Total cluster weight (g)]]/COUNTA(A362:A366)</f>
        <v>122.8</v>
      </c>
    </row>
    <row r="367" spans="1:8" x14ac:dyDescent="0.55000000000000004">
      <c r="A367" s="4" t="s">
        <v>142</v>
      </c>
      <c r="B367" s="5">
        <v>47</v>
      </c>
      <c r="C367" s="5">
        <v>63</v>
      </c>
      <c r="D367" s="14" t="s">
        <v>17</v>
      </c>
      <c r="E367" s="7">
        <v>12</v>
      </c>
      <c r="F367" s="13" t="s">
        <v>15</v>
      </c>
      <c r="G367" s="7"/>
      <c r="H367" s="91"/>
    </row>
    <row r="368" spans="1:8" x14ac:dyDescent="0.55000000000000004">
      <c r="A368" s="6" t="s">
        <v>143</v>
      </c>
      <c r="B368" s="7">
        <v>32</v>
      </c>
      <c r="C368" s="7">
        <v>41</v>
      </c>
      <c r="D368" s="14" t="s">
        <v>17</v>
      </c>
      <c r="E368" s="7">
        <v>12</v>
      </c>
      <c r="F368" s="7" t="s">
        <v>20</v>
      </c>
      <c r="G368" s="7"/>
      <c r="H368" s="91"/>
    </row>
    <row r="369" spans="1:8" x14ac:dyDescent="0.55000000000000004">
      <c r="A369" s="8" t="s">
        <v>144</v>
      </c>
      <c r="B369" s="7">
        <v>57</v>
      </c>
      <c r="C369" s="7">
        <v>65</v>
      </c>
      <c r="D369" s="14" t="s">
        <v>17</v>
      </c>
      <c r="E369" s="7">
        <v>12</v>
      </c>
      <c r="F369" s="7" t="s">
        <v>16</v>
      </c>
      <c r="G369" s="7"/>
      <c r="H369" s="91"/>
    </row>
    <row r="370" spans="1:8" ht="14.7" thickBot="1" x14ac:dyDescent="0.6">
      <c r="A370" s="11" t="s">
        <v>145</v>
      </c>
      <c r="B370" s="12">
        <v>54</v>
      </c>
      <c r="C370" s="12">
        <v>67</v>
      </c>
      <c r="D370" s="16" t="s">
        <v>17</v>
      </c>
      <c r="E370" s="7">
        <v>12</v>
      </c>
      <c r="F370" s="15" t="s">
        <v>16</v>
      </c>
      <c r="G370" s="12">
        <v>399.5</v>
      </c>
      <c r="H370" s="86">
        <f>Tabla269162371[[#This Row],[Total cluster weight (g)]]/COUNTA(A367:A370)</f>
        <v>99.875</v>
      </c>
    </row>
    <row r="371" spans="1:8" x14ac:dyDescent="0.55000000000000004">
      <c r="A371" s="4" t="s">
        <v>146</v>
      </c>
      <c r="B371" s="5">
        <v>45</v>
      </c>
      <c r="C371" s="5">
        <v>52</v>
      </c>
      <c r="D371" s="14" t="s">
        <v>17</v>
      </c>
      <c r="E371" s="7">
        <v>13</v>
      </c>
      <c r="F371" s="13" t="s">
        <v>15</v>
      </c>
      <c r="G371" s="7"/>
      <c r="H371" s="91"/>
    </row>
    <row r="372" spans="1:8" x14ac:dyDescent="0.55000000000000004">
      <c r="A372" s="6" t="s">
        <v>148</v>
      </c>
      <c r="B372" s="7">
        <v>54</v>
      </c>
      <c r="C372" s="7">
        <v>67</v>
      </c>
      <c r="D372" s="14" t="s">
        <v>17</v>
      </c>
      <c r="E372" s="7">
        <v>13</v>
      </c>
      <c r="F372" s="7" t="s">
        <v>16</v>
      </c>
      <c r="G372" s="7"/>
      <c r="H372" s="91"/>
    </row>
    <row r="373" spans="1:8" x14ac:dyDescent="0.55000000000000004">
      <c r="A373" s="8" t="s">
        <v>149</v>
      </c>
      <c r="B373" s="7">
        <v>56</v>
      </c>
      <c r="C373" s="7">
        <v>64</v>
      </c>
      <c r="D373" s="14" t="s">
        <v>17</v>
      </c>
      <c r="E373" s="7">
        <v>13</v>
      </c>
      <c r="F373" s="7" t="s">
        <v>16</v>
      </c>
      <c r="G373" s="7"/>
      <c r="H373" s="91"/>
    </row>
    <row r="374" spans="1:8" x14ac:dyDescent="0.55000000000000004">
      <c r="A374" s="8" t="s">
        <v>150</v>
      </c>
      <c r="B374" s="7">
        <v>57</v>
      </c>
      <c r="C374" s="7">
        <v>64</v>
      </c>
      <c r="D374" s="14" t="s">
        <v>17</v>
      </c>
      <c r="E374" s="7">
        <v>13</v>
      </c>
      <c r="F374" s="7" t="s">
        <v>16</v>
      </c>
      <c r="G374" s="7"/>
      <c r="H374" s="91"/>
    </row>
    <row r="375" spans="1:8" ht="14.7" thickBot="1" x14ac:dyDescent="0.6">
      <c r="A375" s="11" t="s">
        <v>151</v>
      </c>
      <c r="B375" s="12">
        <v>52</v>
      </c>
      <c r="C375" s="12">
        <v>62</v>
      </c>
      <c r="D375" s="16" t="s">
        <v>17</v>
      </c>
      <c r="E375" s="7">
        <v>13</v>
      </c>
      <c r="F375" s="15" t="s">
        <v>16</v>
      </c>
      <c r="G375" s="12">
        <v>571.5</v>
      </c>
      <c r="H375" s="86">
        <f>Tabla269162371[[#This Row],[Total cluster weight (g)]]/COUNTA(A371:A375)</f>
        <v>114.3</v>
      </c>
    </row>
    <row r="376" spans="1:8" x14ac:dyDescent="0.55000000000000004">
      <c r="A376" s="19"/>
      <c r="B376" s="20"/>
      <c r="C376" s="2"/>
      <c r="D376" s="21"/>
      <c r="E376" s="2"/>
      <c r="F376" s="2"/>
      <c r="G376" s="2"/>
      <c r="H376" s="42"/>
    </row>
    <row r="377" spans="1:8" x14ac:dyDescent="0.55000000000000004">
      <c r="A377" s="39" t="s">
        <v>50</v>
      </c>
      <c r="B377" s="35" t="s">
        <v>44</v>
      </c>
      <c r="C377" s="35" t="s">
        <v>45</v>
      </c>
      <c r="D377" s="35" t="s">
        <v>46</v>
      </c>
      <c r="E377" s="35" t="s">
        <v>47</v>
      </c>
      <c r="F377" s="36" t="s">
        <v>56</v>
      </c>
      <c r="G377" s="60" t="s">
        <v>72</v>
      </c>
    </row>
    <row r="378" spans="1:8" x14ac:dyDescent="0.55000000000000004">
      <c r="A378" s="40" t="s">
        <v>48</v>
      </c>
      <c r="B378" s="37">
        <f>AVERAGE(Tabla269162371[Height (mm)])</f>
        <v>52.301587301587304</v>
      </c>
      <c r="C378" s="37">
        <f>AVERAGE(Tabla269162371[Width (mm)])</f>
        <v>66.539682539682545</v>
      </c>
      <c r="D378" s="37">
        <f>MAX(Tabla269162371[[Cluster number ]])</f>
        <v>13</v>
      </c>
      <c r="E378" s="37">
        <f>AVERAGE(Tabla269162371[Tomato average weight per cluster])</f>
        <v>125.83269230769231</v>
      </c>
      <c r="F378" s="38">
        <f>COUNTA(Tabla269162371["C20" PLANT])</f>
        <v>63</v>
      </c>
      <c r="G378" s="59">
        <f>SUM(Tabla269162371[Total cluster weight (g)])</f>
        <v>7956</v>
      </c>
    </row>
    <row r="380" spans="1:8" x14ac:dyDescent="0.55000000000000004">
      <c r="A380" s="3" t="s">
        <v>14</v>
      </c>
      <c r="B380" t="s">
        <v>2</v>
      </c>
      <c r="C380" t="s">
        <v>3</v>
      </c>
      <c r="D380" t="s">
        <v>4</v>
      </c>
      <c r="E380" t="s">
        <v>5</v>
      </c>
      <c r="F380" t="s">
        <v>6</v>
      </c>
      <c r="G380" t="s">
        <v>7</v>
      </c>
      <c r="H380" t="s">
        <v>43</v>
      </c>
    </row>
    <row r="381" spans="1:8" x14ac:dyDescent="0.55000000000000004">
      <c r="A381" s="41" t="s">
        <v>76</v>
      </c>
      <c r="B381" s="63">
        <v>51</v>
      </c>
      <c r="C381" s="27">
        <v>68</v>
      </c>
      <c r="D381" s="28" t="s">
        <v>17</v>
      </c>
      <c r="E381" s="27">
        <v>1</v>
      </c>
      <c r="F381" s="13" t="s">
        <v>15</v>
      </c>
      <c r="G381" s="27"/>
      <c r="H381" s="48"/>
    </row>
    <row r="382" spans="1:8" x14ac:dyDescent="0.55000000000000004">
      <c r="A382" s="41" t="s">
        <v>77</v>
      </c>
      <c r="B382" s="63">
        <v>51</v>
      </c>
      <c r="C382" s="27">
        <v>66</v>
      </c>
      <c r="D382" s="28" t="s">
        <v>17</v>
      </c>
      <c r="E382" s="27">
        <v>1</v>
      </c>
      <c r="F382" s="7" t="s">
        <v>16</v>
      </c>
      <c r="G382" s="7"/>
      <c r="H382" s="50"/>
    </row>
    <row r="383" spans="1:8" x14ac:dyDescent="0.55000000000000004">
      <c r="A383" s="41" t="s">
        <v>83</v>
      </c>
      <c r="B383" s="63">
        <v>51</v>
      </c>
      <c r="C383" s="27">
        <v>66</v>
      </c>
      <c r="D383" s="28" t="s">
        <v>17</v>
      </c>
      <c r="E383" s="27">
        <v>1</v>
      </c>
      <c r="F383" s="7" t="s">
        <v>16</v>
      </c>
      <c r="G383" s="7"/>
      <c r="H383" s="50"/>
    </row>
    <row r="384" spans="1:8" x14ac:dyDescent="0.55000000000000004">
      <c r="A384" s="41" t="s">
        <v>84</v>
      </c>
      <c r="B384" s="63">
        <v>52</v>
      </c>
      <c r="C384" s="27">
        <v>64</v>
      </c>
      <c r="D384" s="28" t="s">
        <v>17</v>
      </c>
      <c r="E384" s="27">
        <v>1</v>
      </c>
      <c r="F384" s="7" t="s">
        <v>16</v>
      </c>
      <c r="G384" s="7"/>
      <c r="H384" s="50"/>
    </row>
    <row r="385" spans="1:8" ht="14.7" thickBot="1" x14ac:dyDescent="0.6">
      <c r="A385" s="55" t="s">
        <v>85</v>
      </c>
      <c r="B385" s="65">
        <v>51</v>
      </c>
      <c r="C385" s="15">
        <v>69</v>
      </c>
      <c r="D385" s="17" t="s">
        <v>17</v>
      </c>
      <c r="E385" s="27">
        <v>1</v>
      </c>
      <c r="F385" s="15" t="s">
        <v>16</v>
      </c>
      <c r="G385" s="15">
        <v>622.5</v>
      </c>
      <c r="H385" s="62">
        <f>Tabla269162472[[#This Row],[Total cluster weight (g)]]/COUNTA(A381:A385)</f>
        <v>124.5</v>
      </c>
    </row>
    <row r="386" spans="1:8" x14ac:dyDescent="0.55000000000000004">
      <c r="A386" s="41" t="s">
        <v>86</v>
      </c>
      <c r="B386" s="63">
        <v>52</v>
      </c>
      <c r="C386" s="27">
        <v>66</v>
      </c>
      <c r="D386" s="28" t="s">
        <v>17</v>
      </c>
      <c r="E386" s="27">
        <v>2</v>
      </c>
      <c r="F386" s="13" t="s">
        <v>15</v>
      </c>
      <c r="G386" s="27"/>
      <c r="H386" s="48"/>
    </row>
    <row r="387" spans="1:8" x14ac:dyDescent="0.55000000000000004">
      <c r="A387" s="41" t="s">
        <v>87</v>
      </c>
      <c r="B387" s="63">
        <v>52</v>
      </c>
      <c r="C387" s="27">
        <v>68</v>
      </c>
      <c r="D387" s="28" t="s">
        <v>17</v>
      </c>
      <c r="E387" s="27">
        <v>2</v>
      </c>
      <c r="F387" s="7" t="s">
        <v>15</v>
      </c>
      <c r="G387" s="27"/>
      <c r="H387" s="50"/>
    </row>
    <row r="388" spans="1:8" x14ac:dyDescent="0.55000000000000004">
      <c r="A388" s="41" t="s">
        <v>88</v>
      </c>
      <c r="B388" s="63">
        <v>52</v>
      </c>
      <c r="C388" s="27">
        <v>69</v>
      </c>
      <c r="D388" s="28" t="s">
        <v>17</v>
      </c>
      <c r="E388" s="27">
        <v>2</v>
      </c>
      <c r="F388" s="7" t="s">
        <v>15</v>
      </c>
      <c r="G388" s="27"/>
      <c r="H388" s="50"/>
    </row>
    <row r="389" spans="1:8" ht="14.7" thickBot="1" x14ac:dyDescent="0.6">
      <c r="A389" s="55" t="s">
        <v>89</v>
      </c>
      <c r="B389" s="65">
        <v>54</v>
      </c>
      <c r="C389" s="15">
        <v>70</v>
      </c>
      <c r="D389" s="17" t="s">
        <v>17</v>
      </c>
      <c r="E389" s="27">
        <v>2</v>
      </c>
      <c r="F389" s="12" t="s">
        <v>16</v>
      </c>
      <c r="G389" s="15">
        <v>500</v>
      </c>
      <c r="H389" s="58">
        <f>Tabla269162472[[#This Row],[Total cluster weight (g)]]/COUNTA(A386:A389)</f>
        <v>125</v>
      </c>
    </row>
    <row r="390" spans="1:8" x14ac:dyDescent="0.55000000000000004">
      <c r="A390" s="41" t="s">
        <v>99</v>
      </c>
      <c r="B390" s="63">
        <v>52</v>
      </c>
      <c r="C390" s="27">
        <v>66</v>
      </c>
      <c r="D390" s="28" t="s">
        <v>17</v>
      </c>
      <c r="E390" s="27">
        <v>3</v>
      </c>
      <c r="F390" s="10" t="s">
        <v>16</v>
      </c>
      <c r="G390" s="27"/>
      <c r="H390" s="54"/>
    </row>
    <row r="391" spans="1:8" x14ac:dyDescent="0.55000000000000004">
      <c r="A391" s="41" t="s">
        <v>91</v>
      </c>
      <c r="B391" s="63">
        <v>55</v>
      </c>
      <c r="C391" s="27">
        <v>63</v>
      </c>
      <c r="D391" s="28" t="s">
        <v>17</v>
      </c>
      <c r="E391" s="27">
        <v>3</v>
      </c>
      <c r="F391" s="7" t="s">
        <v>16</v>
      </c>
      <c r="G391" s="27"/>
      <c r="H391" s="50"/>
    </row>
    <row r="392" spans="1:8" x14ac:dyDescent="0.55000000000000004">
      <c r="A392" s="41" t="s">
        <v>92</v>
      </c>
      <c r="B392" s="63">
        <v>53</v>
      </c>
      <c r="C392" s="27">
        <v>61</v>
      </c>
      <c r="D392" s="28" t="s">
        <v>17</v>
      </c>
      <c r="E392" s="27">
        <v>3</v>
      </c>
      <c r="F392" s="7" t="s">
        <v>16</v>
      </c>
      <c r="G392" s="27"/>
      <c r="H392" s="50"/>
    </row>
    <row r="393" spans="1:8" x14ac:dyDescent="0.55000000000000004">
      <c r="A393" s="41" t="s">
        <v>94</v>
      </c>
      <c r="B393" s="63">
        <v>54</v>
      </c>
      <c r="C393" s="27">
        <v>66</v>
      </c>
      <c r="D393" s="28" t="s">
        <v>17</v>
      </c>
      <c r="E393" s="27">
        <v>3</v>
      </c>
      <c r="F393" s="7" t="s">
        <v>16</v>
      </c>
      <c r="G393" s="27"/>
      <c r="H393" s="50"/>
    </row>
    <row r="394" spans="1:8" ht="14.7" thickBot="1" x14ac:dyDescent="0.6">
      <c r="A394" s="55" t="s">
        <v>95</v>
      </c>
      <c r="B394" s="65">
        <v>54</v>
      </c>
      <c r="C394" s="15">
        <v>69</v>
      </c>
      <c r="D394" s="17" t="s">
        <v>17</v>
      </c>
      <c r="E394" s="27">
        <v>3</v>
      </c>
      <c r="F394" s="15" t="s">
        <v>16</v>
      </c>
      <c r="G394" s="15">
        <v>606.5</v>
      </c>
      <c r="H394" s="62">
        <f>Tabla269162472[[#This Row],[Total cluster weight (g)]]/COUNTA(A390:A394)</f>
        <v>121.3</v>
      </c>
    </row>
    <row r="395" spans="1:8" x14ac:dyDescent="0.55000000000000004">
      <c r="A395" s="41" t="s">
        <v>107</v>
      </c>
      <c r="B395" s="63">
        <v>50</v>
      </c>
      <c r="C395" s="27">
        <v>61</v>
      </c>
      <c r="D395" s="28" t="s">
        <v>17</v>
      </c>
      <c r="E395" s="27">
        <v>4</v>
      </c>
      <c r="F395" s="13" t="s">
        <v>16</v>
      </c>
      <c r="G395" s="27"/>
      <c r="H395" s="48"/>
    </row>
    <row r="396" spans="1:8" x14ac:dyDescent="0.55000000000000004">
      <c r="A396" s="41" t="s">
        <v>108</v>
      </c>
      <c r="B396" s="63">
        <v>50</v>
      </c>
      <c r="C396" s="27">
        <v>68</v>
      </c>
      <c r="D396" s="28" t="s">
        <v>17</v>
      </c>
      <c r="E396" s="27">
        <v>4</v>
      </c>
      <c r="F396" s="7" t="s">
        <v>16</v>
      </c>
      <c r="G396" s="7"/>
      <c r="H396" s="50"/>
    </row>
    <row r="397" spans="1:8" x14ac:dyDescent="0.55000000000000004">
      <c r="A397" s="41" t="s">
        <v>109</v>
      </c>
      <c r="B397" s="63">
        <v>54</v>
      </c>
      <c r="C397" s="27">
        <v>74</v>
      </c>
      <c r="D397" s="28" t="s">
        <v>17</v>
      </c>
      <c r="E397" s="27">
        <v>4</v>
      </c>
      <c r="F397" s="7" t="s">
        <v>16</v>
      </c>
      <c r="G397" s="7"/>
      <c r="H397" s="50"/>
    </row>
    <row r="398" spans="1:8" x14ac:dyDescent="0.55000000000000004">
      <c r="A398" s="41" t="s">
        <v>110</v>
      </c>
      <c r="B398" s="63">
        <v>51</v>
      </c>
      <c r="C398" s="27">
        <v>74</v>
      </c>
      <c r="D398" s="28" t="s">
        <v>17</v>
      </c>
      <c r="E398" s="27">
        <v>4</v>
      </c>
      <c r="F398" s="7" t="s">
        <v>16</v>
      </c>
      <c r="G398" s="7"/>
      <c r="H398" s="50"/>
    </row>
    <row r="399" spans="1:8" ht="14.7" thickBot="1" x14ac:dyDescent="0.6">
      <c r="A399" s="55" t="s">
        <v>111</v>
      </c>
      <c r="B399" s="65">
        <v>54</v>
      </c>
      <c r="C399" s="15">
        <v>67</v>
      </c>
      <c r="D399" s="17" t="s">
        <v>17</v>
      </c>
      <c r="E399" s="27">
        <v>4</v>
      </c>
      <c r="F399" s="15" t="s">
        <v>16</v>
      </c>
      <c r="G399" s="15">
        <v>661</v>
      </c>
      <c r="H399" s="62">
        <f>Tabla269162472[[#This Row],[Total cluster weight (g)]]/COUNTA(A395:A399)</f>
        <v>132.19999999999999</v>
      </c>
    </row>
    <row r="400" spans="1:8" x14ac:dyDescent="0.55000000000000004">
      <c r="A400" s="22" t="s">
        <v>119</v>
      </c>
      <c r="B400" s="10">
        <v>50</v>
      </c>
      <c r="C400" s="10">
        <v>62</v>
      </c>
      <c r="D400" s="18" t="s">
        <v>17</v>
      </c>
      <c r="E400" s="10">
        <v>5</v>
      </c>
      <c r="F400" s="10" t="s">
        <v>16</v>
      </c>
      <c r="G400" s="10"/>
      <c r="H400" s="54"/>
    </row>
    <row r="401" spans="1:8" x14ac:dyDescent="0.55000000000000004">
      <c r="A401" s="8" t="s">
        <v>120</v>
      </c>
      <c r="B401" s="7">
        <v>52</v>
      </c>
      <c r="C401" s="7">
        <v>66</v>
      </c>
      <c r="D401" s="14" t="s">
        <v>17</v>
      </c>
      <c r="E401" s="10">
        <v>5</v>
      </c>
      <c r="F401" s="7" t="s">
        <v>16</v>
      </c>
      <c r="G401" s="7"/>
      <c r="H401" s="50"/>
    </row>
    <row r="402" spans="1:8" x14ac:dyDescent="0.55000000000000004">
      <c r="A402" s="8" t="s">
        <v>121</v>
      </c>
      <c r="B402" s="7">
        <v>53</v>
      </c>
      <c r="C402" s="7">
        <v>65</v>
      </c>
      <c r="D402" s="14" t="s">
        <v>17</v>
      </c>
      <c r="E402" s="10">
        <v>5</v>
      </c>
      <c r="F402" s="7" t="s">
        <v>16</v>
      </c>
      <c r="G402" s="7"/>
      <c r="H402" s="50"/>
    </row>
    <row r="403" spans="1:8" x14ac:dyDescent="0.55000000000000004">
      <c r="A403" s="8" t="s">
        <v>122</v>
      </c>
      <c r="B403" s="7">
        <v>54</v>
      </c>
      <c r="C403" s="7">
        <v>67</v>
      </c>
      <c r="D403" s="14" t="s">
        <v>17</v>
      </c>
      <c r="E403" s="10">
        <v>5</v>
      </c>
      <c r="F403" s="7" t="s">
        <v>16</v>
      </c>
      <c r="G403" s="7"/>
      <c r="H403" s="50"/>
    </row>
    <row r="404" spans="1:8" ht="14.7" thickBot="1" x14ac:dyDescent="0.6">
      <c r="A404" s="23" t="s">
        <v>123</v>
      </c>
      <c r="B404" s="12">
        <v>52</v>
      </c>
      <c r="C404" s="12">
        <v>68</v>
      </c>
      <c r="D404" s="16" t="s">
        <v>17</v>
      </c>
      <c r="E404" s="10">
        <v>5</v>
      </c>
      <c r="F404" s="12" t="s">
        <v>16</v>
      </c>
      <c r="G404" s="12">
        <v>610.5</v>
      </c>
      <c r="H404" s="58">
        <f>Tabla269162472[[#This Row],[Total cluster weight (g)]]/COUNTA(A400:A404)</f>
        <v>122.1</v>
      </c>
    </row>
    <row r="405" spans="1:8" x14ac:dyDescent="0.55000000000000004">
      <c r="A405" s="41" t="s">
        <v>124</v>
      </c>
      <c r="B405" s="63">
        <v>52</v>
      </c>
      <c r="C405" s="27">
        <v>66</v>
      </c>
      <c r="D405" s="28" t="s">
        <v>17</v>
      </c>
      <c r="E405" s="27">
        <v>6</v>
      </c>
      <c r="F405" s="13" t="s">
        <v>15</v>
      </c>
      <c r="G405" s="27"/>
      <c r="H405" s="48"/>
    </row>
    <row r="406" spans="1:8" x14ac:dyDescent="0.55000000000000004">
      <c r="A406" s="41" t="s">
        <v>125</v>
      </c>
      <c r="B406" s="63">
        <v>54</v>
      </c>
      <c r="C406" s="27">
        <v>61</v>
      </c>
      <c r="D406" s="28" t="s">
        <v>17</v>
      </c>
      <c r="E406" s="27">
        <v>6</v>
      </c>
      <c r="F406" s="7" t="s">
        <v>15</v>
      </c>
      <c r="G406" s="7"/>
      <c r="H406" s="50"/>
    </row>
    <row r="407" spans="1:8" x14ac:dyDescent="0.55000000000000004">
      <c r="A407" s="41" t="s">
        <v>126</v>
      </c>
      <c r="B407" s="63">
        <v>51</v>
      </c>
      <c r="C407" s="27">
        <v>65</v>
      </c>
      <c r="D407" s="28" t="s">
        <v>17</v>
      </c>
      <c r="E407" s="27">
        <v>6</v>
      </c>
      <c r="F407" s="7" t="s">
        <v>16</v>
      </c>
      <c r="G407" s="7"/>
      <c r="H407" s="50"/>
    </row>
    <row r="408" spans="1:8" x14ac:dyDescent="0.55000000000000004">
      <c r="A408" s="41" t="s">
        <v>127</v>
      </c>
      <c r="B408" s="63">
        <v>53</v>
      </c>
      <c r="C408" s="27">
        <v>61</v>
      </c>
      <c r="D408" s="28" t="s">
        <v>17</v>
      </c>
      <c r="E408" s="27">
        <v>6</v>
      </c>
      <c r="F408" s="7" t="s">
        <v>16</v>
      </c>
      <c r="G408" s="7"/>
      <c r="H408" s="50"/>
    </row>
    <row r="409" spans="1:8" ht="14.7" thickBot="1" x14ac:dyDescent="0.6">
      <c r="A409" s="55" t="s">
        <v>128</v>
      </c>
      <c r="B409" s="65">
        <v>54</v>
      </c>
      <c r="C409" s="15">
        <v>69</v>
      </c>
      <c r="D409" s="17" t="s">
        <v>17</v>
      </c>
      <c r="E409" s="27">
        <v>6</v>
      </c>
      <c r="F409" s="15" t="s">
        <v>16</v>
      </c>
      <c r="G409" s="15">
        <v>570</v>
      </c>
      <c r="H409" s="62">
        <f>Tabla269162472[[#This Row],[Total cluster weight (g)]]/COUNTA(A405:A409)</f>
        <v>114</v>
      </c>
    </row>
    <row r="410" spans="1:8" x14ac:dyDescent="0.55000000000000004">
      <c r="A410" s="4" t="s">
        <v>131</v>
      </c>
      <c r="B410" s="5">
        <v>51</v>
      </c>
      <c r="C410" s="5">
        <v>59</v>
      </c>
      <c r="D410" s="14" t="s">
        <v>17</v>
      </c>
      <c r="E410" s="7">
        <v>7</v>
      </c>
      <c r="F410" s="13" t="s">
        <v>16</v>
      </c>
      <c r="G410" s="13"/>
      <c r="H410" s="48"/>
    </row>
    <row r="411" spans="1:8" x14ac:dyDescent="0.55000000000000004">
      <c r="A411" s="6" t="s">
        <v>132</v>
      </c>
      <c r="B411" s="7">
        <v>51</v>
      </c>
      <c r="C411" s="7">
        <v>63</v>
      </c>
      <c r="D411" s="14" t="s">
        <v>17</v>
      </c>
      <c r="E411" s="7">
        <v>7</v>
      </c>
      <c r="F411" s="7" t="s">
        <v>16</v>
      </c>
      <c r="G411" s="7"/>
      <c r="H411" s="50"/>
    </row>
    <row r="412" spans="1:8" x14ac:dyDescent="0.55000000000000004">
      <c r="A412" s="8" t="s">
        <v>133</v>
      </c>
      <c r="B412" s="7">
        <v>55</v>
      </c>
      <c r="C412" s="7">
        <v>62</v>
      </c>
      <c r="D412" s="14" t="s">
        <v>17</v>
      </c>
      <c r="E412" s="7">
        <v>7</v>
      </c>
      <c r="F412" s="7" t="s">
        <v>16</v>
      </c>
      <c r="G412" s="7"/>
      <c r="H412" s="50"/>
    </row>
    <row r="413" spans="1:8" x14ac:dyDescent="0.55000000000000004">
      <c r="A413" s="8" t="s">
        <v>134</v>
      </c>
      <c r="B413" s="7">
        <v>53</v>
      </c>
      <c r="C413" s="7">
        <v>64</v>
      </c>
      <c r="D413" s="14" t="s">
        <v>17</v>
      </c>
      <c r="E413" s="7">
        <v>7</v>
      </c>
      <c r="F413" s="7" t="s">
        <v>16</v>
      </c>
      <c r="G413" s="7"/>
      <c r="H413" s="50"/>
    </row>
    <row r="414" spans="1:8" ht="14.7" thickBot="1" x14ac:dyDescent="0.6">
      <c r="A414" s="11" t="s">
        <v>135</v>
      </c>
      <c r="B414" s="12">
        <v>53</v>
      </c>
      <c r="C414" s="12">
        <v>66</v>
      </c>
      <c r="D414" s="16" t="s">
        <v>17</v>
      </c>
      <c r="E414" s="7">
        <v>7</v>
      </c>
      <c r="F414" s="12" t="s">
        <v>16</v>
      </c>
      <c r="G414" s="12">
        <v>558</v>
      </c>
      <c r="H414" s="58">
        <f>Tabla269162472[[#This Row],[Total cluster weight (g)]]/COUNTA(A410:A414)</f>
        <v>111.6</v>
      </c>
    </row>
    <row r="415" spans="1:8" x14ac:dyDescent="0.55000000000000004">
      <c r="A415" s="4" t="s">
        <v>136</v>
      </c>
      <c r="B415" s="5">
        <v>50</v>
      </c>
      <c r="C415" s="5">
        <v>55</v>
      </c>
      <c r="D415" s="14" t="s">
        <v>17</v>
      </c>
      <c r="E415" s="7">
        <v>8</v>
      </c>
      <c r="F415" s="13" t="s">
        <v>15</v>
      </c>
      <c r="G415" s="13"/>
      <c r="H415" s="48"/>
    </row>
    <row r="416" spans="1:8" x14ac:dyDescent="0.55000000000000004">
      <c r="A416" s="6" t="s">
        <v>137</v>
      </c>
      <c r="B416" s="7">
        <v>52</v>
      </c>
      <c r="C416" s="7">
        <v>58</v>
      </c>
      <c r="D416" s="14" t="s">
        <v>17</v>
      </c>
      <c r="E416" s="7">
        <v>8</v>
      </c>
      <c r="F416" s="7" t="s">
        <v>15</v>
      </c>
      <c r="G416" s="7"/>
      <c r="H416" s="50"/>
    </row>
    <row r="417" spans="1:8" x14ac:dyDescent="0.55000000000000004">
      <c r="A417" s="8" t="s">
        <v>138</v>
      </c>
      <c r="B417" s="7">
        <v>51</v>
      </c>
      <c r="C417" s="7">
        <v>59</v>
      </c>
      <c r="D417" s="14" t="s">
        <v>17</v>
      </c>
      <c r="E417" s="7">
        <v>8</v>
      </c>
      <c r="F417" s="7" t="s">
        <v>16</v>
      </c>
      <c r="G417" s="7"/>
      <c r="H417" s="50"/>
    </row>
    <row r="418" spans="1:8" x14ac:dyDescent="0.55000000000000004">
      <c r="A418" s="8" t="s">
        <v>139</v>
      </c>
      <c r="B418" s="7">
        <v>53</v>
      </c>
      <c r="C418" s="7">
        <v>62</v>
      </c>
      <c r="D418" s="14" t="s">
        <v>17</v>
      </c>
      <c r="E418" s="7">
        <v>8</v>
      </c>
      <c r="F418" s="7" t="s">
        <v>16</v>
      </c>
      <c r="G418" s="7"/>
      <c r="H418" s="50"/>
    </row>
    <row r="419" spans="1:8" ht="14.7" thickBot="1" x14ac:dyDescent="0.6">
      <c r="A419" s="11" t="s">
        <v>140</v>
      </c>
      <c r="B419" s="12">
        <v>52</v>
      </c>
      <c r="C419" s="12">
        <v>68</v>
      </c>
      <c r="D419" s="16" t="s">
        <v>17</v>
      </c>
      <c r="E419" s="7">
        <v>8</v>
      </c>
      <c r="F419" s="12" t="s">
        <v>16</v>
      </c>
      <c r="G419" s="12">
        <v>462.5</v>
      </c>
      <c r="H419" s="58">
        <f>Tabla269162472[[#This Row],[Total cluster weight (g)]]/COUNTA(A415:A419)</f>
        <v>92.5</v>
      </c>
    </row>
    <row r="420" spans="1:8" x14ac:dyDescent="0.55000000000000004">
      <c r="A420" s="4" t="s">
        <v>147</v>
      </c>
      <c r="B420" s="5">
        <v>56</v>
      </c>
      <c r="C420" s="5">
        <v>62</v>
      </c>
      <c r="D420" s="14" t="s">
        <v>17</v>
      </c>
      <c r="E420" s="7">
        <v>9</v>
      </c>
      <c r="F420" s="13" t="s">
        <v>16</v>
      </c>
      <c r="G420" s="7"/>
      <c r="H420" s="48"/>
    </row>
    <row r="421" spans="1:8" x14ac:dyDescent="0.55000000000000004">
      <c r="A421" s="6" t="s">
        <v>183</v>
      </c>
      <c r="B421" s="7">
        <v>54</v>
      </c>
      <c r="C421" s="7">
        <v>62</v>
      </c>
      <c r="D421" s="14" t="s">
        <v>17</v>
      </c>
      <c r="E421" s="7">
        <v>9</v>
      </c>
      <c r="F421" s="7" t="s">
        <v>16</v>
      </c>
      <c r="G421" s="7"/>
      <c r="H421" s="50"/>
    </row>
    <row r="422" spans="1:8" x14ac:dyDescent="0.55000000000000004">
      <c r="A422" s="8" t="s">
        <v>184</v>
      </c>
      <c r="B422" s="7">
        <v>56</v>
      </c>
      <c r="C422" s="7">
        <v>72</v>
      </c>
      <c r="D422" s="14" t="s">
        <v>17</v>
      </c>
      <c r="E422" s="7">
        <v>9</v>
      </c>
      <c r="F422" s="7" t="s">
        <v>16</v>
      </c>
      <c r="G422" s="7"/>
      <c r="H422" s="50"/>
    </row>
    <row r="423" spans="1:8" x14ac:dyDescent="0.55000000000000004">
      <c r="A423" s="8" t="s">
        <v>145</v>
      </c>
      <c r="B423" s="7">
        <v>56</v>
      </c>
      <c r="C423" s="7">
        <v>64</v>
      </c>
      <c r="D423" s="14" t="s">
        <v>17</v>
      </c>
      <c r="E423" s="7">
        <v>9</v>
      </c>
      <c r="F423" s="7" t="s">
        <v>16</v>
      </c>
      <c r="G423" s="7"/>
      <c r="H423" s="50"/>
    </row>
    <row r="424" spans="1:8" ht="14.7" thickBot="1" x14ac:dyDescent="0.6">
      <c r="A424" s="11" t="s">
        <v>146</v>
      </c>
      <c r="B424" s="12">
        <v>53</v>
      </c>
      <c r="C424" s="12">
        <v>63</v>
      </c>
      <c r="D424" s="16" t="s">
        <v>17</v>
      </c>
      <c r="E424" s="7">
        <v>9</v>
      </c>
      <c r="F424" s="12" t="s">
        <v>16</v>
      </c>
      <c r="G424" s="12">
        <v>578.5</v>
      </c>
      <c r="H424" s="58">
        <f>Tabla269162472[[#This Row],[Total cluster weight (g)]]/COUNTA(A420:A424)</f>
        <v>115.7</v>
      </c>
    </row>
    <row r="425" spans="1:8" x14ac:dyDescent="0.55000000000000004">
      <c r="A425" s="4" t="s">
        <v>148</v>
      </c>
      <c r="B425" s="5">
        <v>48</v>
      </c>
      <c r="C425" s="5">
        <v>51</v>
      </c>
      <c r="D425" s="14" t="s">
        <v>17</v>
      </c>
      <c r="E425" s="7">
        <v>10</v>
      </c>
      <c r="F425" s="13" t="s">
        <v>16</v>
      </c>
      <c r="G425" s="13"/>
      <c r="H425" s="48"/>
    </row>
    <row r="426" spans="1:8" x14ac:dyDescent="0.55000000000000004">
      <c r="A426" s="6" t="s">
        <v>149</v>
      </c>
      <c r="B426" s="7">
        <v>54</v>
      </c>
      <c r="C426" s="7">
        <v>61</v>
      </c>
      <c r="D426" s="14" t="s">
        <v>17</v>
      </c>
      <c r="E426" s="7">
        <v>10</v>
      </c>
      <c r="F426" s="7" t="s">
        <v>16</v>
      </c>
      <c r="G426" s="7"/>
      <c r="H426" s="50"/>
    </row>
    <row r="427" spans="1:8" x14ac:dyDescent="0.55000000000000004">
      <c r="A427" s="8" t="s">
        <v>150</v>
      </c>
      <c r="B427" s="7">
        <v>57</v>
      </c>
      <c r="C427" s="7">
        <v>68</v>
      </c>
      <c r="D427" s="14" t="s">
        <v>17</v>
      </c>
      <c r="E427" s="7">
        <v>10</v>
      </c>
      <c r="F427" s="7" t="s">
        <v>16</v>
      </c>
      <c r="G427" s="7"/>
      <c r="H427" s="50"/>
    </row>
    <row r="428" spans="1:8" x14ac:dyDescent="0.55000000000000004">
      <c r="A428" s="8" t="s">
        <v>151</v>
      </c>
      <c r="B428" s="7">
        <v>54</v>
      </c>
      <c r="C428" s="7">
        <v>58</v>
      </c>
      <c r="D428" s="14" t="s">
        <v>17</v>
      </c>
      <c r="E428" s="7">
        <v>10</v>
      </c>
      <c r="F428" s="7" t="s">
        <v>16</v>
      </c>
      <c r="G428" s="7"/>
      <c r="H428" s="50"/>
    </row>
    <row r="429" spans="1:8" x14ac:dyDescent="0.55000000000000004">
      <c r="A429" s="8" t="s">
        <v>152</v>
      </c>
      <c r="B429" s="7">
        <v>58</v>
      </c>
      <c r="C429" s="7">
        <v>63</v>
      </c>
      <c r="D429" s="14" t="s">
        <v>17</v>
      </c>
      <c r="E429" s="7">
        <v>10</v>
      </c>
      <c r="F429" s="7" t="s">
        <v>16</v>
      </c>
      <c r="G429" s="7"/>
      <c r="H429" s="50"/>
    </row>
    <row r="430" spans="1:8" ht="14.7" thickBot="1" x14ac:dyDescent="0.6">
      <c r="A430" s="11" t="s">
        <v>153</v>
      </c>
      <c r="B430" s="12">
        <v>57</v>
      </c>
      <c r="C430" s="12">
        <v>66</v>
      </c>
      <c r="D430" s="16" t="s">
        <v>17</v>
      </c>
      <c r="E430" s="7">
        <v>10</v>
      </c>
      <c r="F430" s="12" t="s">
        <v>16</v>
      </c>
      <c r="G430" s="12">
        <v>630</v>
      </c>
      <c r="H430" s="58">
        <f>Tabla269162472[[#This Row],[Total cluster weight (g)]]/COUNTA(A425:A430)</f>
        <v>105</v>
      </c>
    </row>
    <row r="431" spans="1:8" ht="14.7" thickBot="1" x14ac:dyDescent="0.6">
      <c r="A431" s="30" t="s">
        <v>154</v>
      </c>
      <c r="B431" s="29">
        <v>55</v>
      </c>
      <c r="C431" s="29">
        <v>58</v>
      </c>
      <c r="D431" s="16" t="s">
        <v>17</v>
      </c>
      <c r="E431" s="12">
        <v>11</v>
      </c>
      <c r="F431" s="12" t="s">
        <v>15</v>
      </c>
      <c r="G431" s="12">
        <v>129.5</v>
      </c>
      <c r="H431" s="58">
        <f>Tabla269162472[[#This Row],[Total cluster weight (g)]]/COUNTA(A431)</f>
        <v>129.5</v>
      </c>
    </row>
    <row r="432" spans="1:8" x14ac:dyDescent="0.55000000000000004">
      <c r="A432" s="9" t="s">
        <v>164</v>
      </c>
      <c r="B432" s="10">
        <v>52</v>
      </c>
      <c r="C432" s="10">
        <v>60</v>
      </c>
      <c r="D432" s="49" t="s">
        <v>17</v>
      </c>
      <c r="E432" s="10">
        <v>12</v>
      </c>
      <c r="F432" s="13" t="s">
        <v>15</v>
      </c>
      <c r="G432" s="10"/>
      <c r="H432" s="48"/>
    </row>
    <row r="433" spans="1:8" x14ac:dyDescent="0.55000000000000004">
      <c r="A433" s="6" t="s">
        <v>165</v>
      </c>
      <c r="B433" s="7">
        <v>51</v>
      </c>
      <c r="C433" s="7">
        <v>58</v>
      </c>
      <c r="D433" s="14" t="s">
        <v>17</v>
      </c>
      <c r="E433" s="10">
        <v>12</v>
      </c>
      <c r="F433" s="7" t="s">
        <v>16</v>
      </c>
      <c r="G433" s="10"/>
      <c r="H433" s="50"/>
    </row>
    <row r="434" spans="1:8" x14ac:dyDescent="0.55000000000000004">
      <c r="A434" s="6" t="s">
        <v>185</v>
      </c>
      <c r="B434" s="7">
        <v>51</v>
      </c>
      <c r="C434" s="7">
        <v>63</v>
      </c>
      <c r="D434" s="14" t="s">
        <v>17</v>
      </c>
      <c r="E434" s="10">
        <v>12</v>
      </c>
      <c r="F434" s="7" t="s">
        <v>16</v>
      </c>
      <c r="G434" s="10"/>
      <c r="H434" s="50"/>
    </row>
    <row r="435" spans="1:8" x14ac:dyDescent="0.55000000000000004">
      <c r="A435" s="6" t="s">
        <v>186</v>
      </c>
      <c r="B435" s="7">
        <v>52</v>
      </c>
      <c r="C435" s="7">
        <v>61</v>
      </c>
      <c r="D435" s="14" t="s">
        <v>17</v>
      </c>
      <c r="E435" s="10">
        <v>12</v>
      </c>
      <c r="F435" s="7" t="s">
        <v>16</v>
      </c>
      <c r="G435" s="10"/>
      <c r="H435" s="50"/>
    </row>
    <row r="436" spans="1:8" ht="14.7" thickBot="1" x14ac:dyDescent="0.6">
      <c r="A436" s="11" t="s">
        <v>187</v>
      </c>
      <c r="B436" s="12">
        <v>52</v>
      </c>
      <c r="C436" s="12">
        <v>62</v>
      </c>
      <c r="D436" s="16" t="s">
        <v>17</v>
      </c>
      <c r="E436" s="10">
        <v>12</v>
      </c>
      <c r="F436" s="12" t="s">
        <v>16</v>
      </c>
      <c r="G436" s="12">
        <v>515</v>
      </c>
      <c r="H436" s="58">
        <f>Tabla269162472[[#This Row],[Total cluster weight (g)]]/COUNTA(A432:A436)</f>
        <v>103</v>
      </c>
    </row>
    <row r="437" spans="1:8" x14ac:dyDescent="0.55000000000000004">
      <c r="A437" s="19"/>
      <c r="B437" s="20"/>
      <c r="C437" s="20"/>
      <c r="D437" s="21"/>
      <c r="E437" s="20"/>
      <c r="F437" s="20"/>
      <c r="G437" s="20"/>
      <c r="H437" s="53"/>
    </row>
    <row r="438" spans="1:8" x14ac:dyDescent="0.55000000000000004">
      <c r="A438" s="39" t="s">
        <v>49</v>
      </c>
      <c r="B438" s="35" t="s">
        <v>44</v>
      </c>
      <c r="C438" s="35" t="s">
        <v>45</v>
      </c>
      <c r="D438" s="35" t="s">
        <v>46</v>
      </c>
      <c r="E438" s="35" t="s">
        <v>47</v>
      </c>
      <c r="F438" s="36" t="s">
        <v>56</v>
      </c>
      <c r="G438" s="60" t="s">
        <v>72</v>
      </c>
    </row>
    <row r="439" spans="1:8" x14ac:dyDescent="0.55000000000000004">
      <c r="A439" s="40" t="s">
        <v>48</v>
      </c>
      <c r="B439" s="37">
        <f>AVERAGE(Tabla269162472[Height (mm)])</f>
        <v>52.767857142857146</v>
      </c>
      <c r="C439" s="37">
        <f>AVERAGE(Tabla269162472[Width (mm)])</f>
        <v>64.160714285714292</v>
      </c>
      <c r="D439" s="37">
        <f>MAX(Tabla269162472[[Cluster number ]])</f>
        <v>12</v>
      </c>
      <c r="E439" s="37">
        <f>AVERAGE(Tabla269162472[Tomato average weight per cluster])</f>
        <v>116.36666666666667</v>
      </c>
      <c r="F439" s="38">
        <f>COUNTA(Tabla269162472["C21" PLANT])</f>
        <v>56</v>
      </c>
      <c r="G439" s="59">
        <f>SUM(Tabla269162472[Total cluster weight (g)])</f>
        <v>6444</v>
      </c>
    </row>
  </sheetData>
  <pageMargins left="0.7" right="0.7" top="0.75" bottom="0.75" header="0.3" footer="0.3"/>
  <pageSetup paperSize="9" orientation="portrait" horizontalDpi="300" verticalDpi="3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2"/>
  <sheetViews>
    <sheetView topLeftCell="A242" zoomScale="80" zoomScaleNormal="80" workbookViewId="0">
      <selection activeCell="I434" sqref="I14:I434"/>
    </sheetView>
  </sheetViews>
  <sheetFormatPr defaultColWidth="9.15625" defaultRowHeight="14.4" x14ac:dyDescent="0.55000000000000004"/>
  <cols>
    <col min="1" max="1" width="27.41796875" customWidth="1"/>
    <col min="2" max="2" width="22.83984375" customWidth="1"/>
    <col min="3" max="3" width="20.41796875" customWidth="1"/>
    <col min="4" max="4" width="23.26171875" customWidth="1"/>
    <col min="5" max="5" width="34.15625" customWidth="1"/>
    <col min="6" max="6" width="26.41796875" customWidth="1"/>
    <col min="7" max="7" width="23.68359375" customWidth="1"/>
    <col min="8" max="8" width="34.15625" customWidth="1"/>
    <col min="9" max="9" width="16.41796875" customWidth="1"/>
  </cols>
  <sheetData>
    <row r="1" spans="1:8" ht="25.8" x14ac:dyDescent="0.95">
      <c r="A1" s="1" t="s">
        <v>30</v>
      </c>
    </row>
    <row r="3" spans="1:8" ht="20.399999999999999" x14ac:dyDescent="0.75">
      <c r="A3" s="45" t="s">
        <v>1</v>
      </c>
    </row>
    <row r="5" spans="1:8" x14ac:dyDescent="0.55000000000000004">
      <c r="A5" s="3" t="s">
        <v>31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s="34" t="s">
        <v>43</v>
      </c>
    </row>
    <row r="6" spans="1:8" x14ac:dyDescent="0.55000000000000004">
      <c r="A6" s="19" t="s">
        <v>87</v>
      </c>
      <c r="B6" s="7">
        <v>53</v>
      </c>
      <c r="C6" s="7">
        <v>67</v>
      </c>
      <c r="D6" s="14" t="s">
        <v>17</v>
      </c>
      <c r="E6" s="7">
        <v>1</v>
      </c>
      <c r="F6" s="7" t="s">
        <v>15</v>
      </c>
      <c r="G6" s="7"/>
      <c r="H6" s="51"/>
    </row>
    <row r="7" spans="1:8" x14ac:dyDescent="0.55000000000000004">
      <c r="A7" s="19" t="s">
        <v>88</v>
      </c>
      <c r="B7" s="7">
        <v>56</v>
      </c>
      <c r="C7" s="7">
        <v>67</v>
      </c>
      <c r="D7" s="14" t="s">
        <v>17</v>
      </c>
      <c r="E7" s="7">
        <v>1</v>
      </c>
      <c r="F7" s="7" t="s">
        <v>16</v>
      </c>
      <c r="G7" s="7"/>
      <c r="H7" s="51"/>
    </row>
    <row r="8" spans="1:8" x14ac:dyDescent="0.55000000000000004">
      <c r="A8" s="19" t="s">
        <v>89</v>
      </c>
      <c r="B8" s="7">
        <v>56</v>
      </c>
      <c r="C8" s="7">
        <v>69</v>
      </c>
      <c r="D8" s="14" t="s">
        <v>17</v>
      </c>
      <c r="E8" s="7">
        <v>1</v>
      </c>
      <c r="F8" s="7" t="s">
        <v>16</v>
      </c>
      <c r="G8" s="7"/>
      <c r="H8" s="51"/>
    </row>
    <row r="9" spans="1:8" x14ac:dyDescent="0.55000000000000004">
      <c r="A9" s="19" t="s">
        <v>99</v>
      </c>
      <c r="B9" s="7">
        <v>56</v>
      </c>
      <c r="C9" s="7">
        <v>72</v>
      </c>
      <c r="D9" s="14" t="s">
        <v>17</v>
      </c>
      <c r="E9" s="7">
        <v>1</v>
      </c>
      <c r="F9" s="7" t="s">
        <v>16</v>
      </c>
      <c r="G9" s="7"/>
      <c r="H9" s="51"/>
    </row>
    <row r="10" spans="1:8" ht="14.7" thickBot="1" x14ac:dyDescent="0.6">
      <c r="A10" s="52" t="s">
        <v>91</v>
      </c>
      <c r="B10" s="12">
        <v>56</v>
      </c>
      <c r="C10" s="12">
        <v>71</v>
      </c>
      <c r="D10" s="16" t="s">
        <v>17</v>
      </c>
      <c r="E10" s="7">
        <v>1</v>
      </c>
      <c r="F10" s="12" t="s">
        <v>16</v>
      </c>
      <c r="G10" s="12">
        <v>734.5</v>
      </c>
      <c r="H10" s="64">
        <f>Tabla26914[[#This Row],[Total cluster weight (g)]]/COUNTA(A6:A10)</f>
        <v>146.9</v>
      </c>
    </row>
    <row r="11" spans="1:8" x14ac:dyDescent="0.55000000000000004">
      <c r="A11" s="4" t="s">
        <v>92</v>
      </c>
      <c r="B11" s="7">
        <v>55</v>
      </c>
      <c r="C11" s="7">
        <v>66</v>
      </c>
      <c r="D11" s="67" t="s">
        <v>17</v>
      </c>
      <c r="E11" s="7">
        <v>2</v>
      </c>
      <c r="F11" s="7" t="s">
        <v>15</v>
      </c>
      <c r="G11" s="7"/>
      <c r="H11" s="51"/>
    </row>
    <row r="12" spans="1:8" x14ac:dyDescent="0.55000000000000004">
      <c r="A12" s="6" t="s">
        <v>94</v>
      </c>
      <c r="B12" s="7">
        <v>54</v>
      </c>
      <c r="C12" s="7">
        <v>66</v>
      </c>
      <c r="D12" s="67" t="s">
        <v>17</v>
      </c>
      <c r="E12" s="7">
        <v>2</v>
      </c>
      <c r="F12" s="7" t="s">
        <v>16</v>
      </c>
      <c r="G12" s="7"/>
      <c r="H12" s="51"/>
    </row>
    <row r="13" spans="1:8" x14ac:dyDescent="0.55000000000000004">
      <c r="A13" s="8" t="s">
        <v>95</v>
      </c>
      <c r="B13" s="7">
        <v>57</v>
      </c>
      <c r="C13" s="7">
        <v>68</v>
      </c>
      <c r="D13" s="67" t="s">
        <v>17</v>
      </c>
      <c r="E13" s="7">
        <v>2</v>
      </c>
      <c r="F13" s="7" t="s">
        <v>16</v>
      </c>
      <c r="G13" s="7"/>
      <c r="H13" s="51"/>
    </row>
    <row r="14" spans="1:8" x14ac:dyDescent="0.55000000000000004">
      <c r="A14" s="9" t="s">
        <v>107</v>
      </c>
      <c r="B14" s="7">
        <v>57</v>
      </c>
      <c r="C14" s="7">
        <v>70</v>
      </c>
      <c r="D14" s="67" t="s">
        <v>17</v>
      </c>
      <c r="E14" s="7">
        <v>2</v>
      </c>
      <c r="F14" s="7" t="s">
        <v>16</v>
      </c>
      <c r="G14" s="7"/>
      <c r="H14" s="51"/>
    </row>
    <row r="15" spans="1:8" ht="14.7" thickBot="1" x14ac:dyDescent="0.6">
      <c r="A15" s="23" t="s">
        <v>108</v>
      </c>
      <c r="B15" s="12">
        <v>58</v>
      </c>
      <c r="C15" s="12">
        <v>74</v>
      </c>
      <c r="D15" s="81" t="s">
        <v>17</v>
      </c>
      <c r="E15" s="7">
        <v>2</v>
      </c>
      <c r="F15" s="12" t="s">
        <v>16</v>
      </c>
      <c r="G15" s="12">
        <v>730</v>
      </c>
      <c r="H15" s="64">
        <f>Tabla26914[[#This Row],[Total cluster weight (g)]]/COUNTA(A11:A15)</f>
        <v>146</v>
      </c>
    </row>
    <row r="16" spans="1:8" x14ac:dyDescent="0.55000000000000004">
      <c r="A16" s="19" t="s">
        <v>109</v>
      </c>
      <c r="B16" s="7">
        <v>56</v>
      </c>
      <c r="C16" s="7">
        <v>70</v>
      </c>
      <c r="D16" s="99" t="s">
        <v>17</v>
      </c>
      <c r="E16" s="7">
        <v>3</v>
      </c>
      <c r="F16" s="7" t="s">
        <v>16</v>
      </c>
      <c r="G16" s="7"/>
      <c r="H16" s="51"/>
    </row>
    <row r="17" spans="1:8" x14ac:dyDescent="0.55000000000000004">
      <c r="A17" s="19" t="s">
        <v>110</v>
      </c>
      <c r="B17" s="7">
        <v>55</v>
      </c>
      <c r="C17" s="7">
        <v>71</v>
      </c>
      <c r="D17" s="99" t="s">
        <v>17</v>
      </c>
      <c r="E17" s="7">
        <v>3</v>
      </c>
      <c r="F17" s="7" t="s">
        <v>16</v>
      </c>
      <c r="G17" s="7"/>
      <c r="H17" s="51"/>
    </row>
    <row r="18" spans="1:8" x14ac:dyDescent="0.55000000000000004">
      <c r="A18" s="19" t="s">
        <v>111</v>
      </c>
      <c r="B18" s="7">
        <v>56</v>
      </c>
      <c r="C18" s="7">
        <v>76</v>
      </c>
      <c r="D18" s="99" t="s">
        <v>17</v>
      </c>
      <c r="E18" s="7">
        <v>3</v>
      </c>
      <c r="F18" s="7" t="s">
        <v>16</v>
      </c>
      <c r="G18" s="7"/>
      <c r="H18" s="51"/>
    </row>
    <row r="19" spans="1:8" x14ac:dyDescent="0.55000000000000004">
      <c r="A19" s="19" t="s">
        <v>119</v>
      </c>
      <c r="B19" s="7">
        <v>56</v>
      </c>
      <c r="C19" s="7">
        <v>71</v>
      </c>
      <c r="D19" s="99" t="s">
        <v>17</v>
      </c>
      <c r="E19" s="7">
        <v>3</v>
      </c>
      <c r="F19" s="7" t="s">
        <v>16</v>
      </c>
      <c r="G19" s="7"/>
      <c r="H19" s="51"/>
    </row>
    <row r="20" spans="1:8" ht="14.7" thickBot="1" x14ac:dyDescent="0.6">
      <c r="A20" s="52" t="s">
        <v>120</v>
      </c>
      <c r="B20" s="12">
        <v>55</v>
      </c>
      <c r="C20" s="12">
        <v>71</v>
      </c>
      <c r="D20" s="98" t="s">
        <v>17</v>
      </c>
      <c r="E20" s="7">
        <v>3</v>
      </c>
      <c r="F20" s="12" t="s">
        <v>16</v>
      </c>
      <c r="G20" s="12">
        <v>799.5</v>
      </c>
      <c r="H20" s="64">
        <f>Tabla26914[[#This Row],[Total cluster weight (g)]]/COUNTA(A16:A20)</f>
        <v>159.9</v>
      </c>
    </row>
    <row r="21" spans="1:8" x14ac:dyDescent="0.55000000000000004">
      <c r="A21" s="19" t="s">
        <v>121</v>
      </c>
      <c r="B21" s="7">
        <v>58</v>
      </c>
      <c r="C21" s="7">
        <v>65</v>
      </c>
      <c r="D21" s="67" t="s">
        <v>17</v>
      </c>
      <c r="E21" s="7">
        <v>4</v>
      </c>
      <c r="F21" s="7" t="s">
        <v>16</v>
      </c>
      <c r="G21" s="7"/>
      <c r="H21" s="51"/>
    </row>
    <row r="22" spans="1:8" x14ac:dyDescent="0.55000000000000004">
      <c r="A22" s="19" t="s">
        <v>122</v>
      </c>
      <c r="B22" s="7">
        <v>58</v>
      </c>
      <c r="C22" s="7">
        <v>70</v>
      </c>
      <c r="D22" s="67" t="s">
        <v>17</v>
      </c>
      <c r="E22" s="7">
        <v>4</v>
      </c>
      <c r="F22" s="7" t="s">
        <v>16</v>
      </c>
      <c r="G22" s="7"/>
      <c r="H22" s="51"/>
    </row>
    <row r="23" spans="1:8" x14ac:dyDescent="0.55000000000000004">
      <c r="A23" s="19" t="s">
        <v>123</v>
      </c>
      <c r="B23" s="7">
        <v>57</v>
      </c>
      <c r="C23" s="7">
        <v>72</v>
      </c>
      <c r="D23" s="67" t="s">
        <v>17</v>
      </c>
      <c r="E23" s="7">
        <v>4</v>
      </c>
      <c r="F23" s="7" t="s">
        <v>16</v>
      </c>
      <c r="G23" s="7"/>
      <c r="H23" s="51"/>
    </row>
    <row r="24" spans="1:8" x14ac:dyDescent="0.55000000000000004">
      <c r="A24" s="19" t="s">
        <v>124</v>
      </c>
      <c r="B24" s="7">
        <v>59</v>
      </c>
      <c r="C24" s="7">
        <v>74</v>
      </c>
      <c r="D24" s="67" t="s">
        <v>17</v>
      </c>
      <c r="E24" s="7">
        <v>4</v>
      </c>
      <c r="F24" s="7" t="s">
        <v>16</v>
      </c>
      <c r="G24" s="7"/>
      <c r="H24" s="51"/>
    </row>
    <row r="25" spans="1:8" ht="14.7" thickBot="1" x14ac:dyDescent="0.6">
      <c r="A25" s="52" t="s">
        <v>125</v>
      </c>
      <c r="B25" s="12">
        <v>59</v>
      </c>
      <c r="C25" s="12">
        <v>72</v>
      </c>
      <c r="D25" s="81" t="s">
        <v>17</v>
      </c>
      <c r="E25" s="7">
        <v>4</v>
      </c>
      <c r="F25" s="12" t="s">
        <v>16</v>
      </c>
      <c r="G25" s="12">
        <v>830</v>
      </c>
      <c r="H25" s="64">
        <f>Tabla26914[[#This Row],[Total cluster weight (g)]]/COUNTA(A21:A25)</f>
        <v>166</v>
      </c>
    </row>
    <row r="26" spans="1:8" x14ac:dyDescent="0.55000000000000004">
      <c r="A26" s="19" t="s">
        <v>126</v>
      </c>
      <c r="B26" s="7">
        <v>56</v>
      </c>
      <c r="C26" s="7">
        <v>76</v>
      </c>
      <c r="D26" s="67" t="s">
        <v>17</v>
      </c>
      <c r="E26" s="7">
        <v>5</v>
      </c>
      <c r="F26" s="7" t="s">
        <v>16</v>
      </c>
      <c r="G26" s="7"/>
      <c r="H26" s="51"/>
    </row>
    <row r="27" spans="1:8" x14ac:dyDescent="0.55000000000000004">
      <c r="A27" s="19" t="s">
        <v>127</v>
      </c>
      <c r="B27" s="7">
        <v>58</v>
      </c>
      <c r="C27" s="7">
        <v>70</v>
      </c>
      <c r="D27" s="67" t="s">
        <v>17</v>
      </c>
      <c r="E27" s="7">
        <v>5</v>
      </c>
      <c r="F27" s="7" t="s">
        <v>16</v>
      </c>
      <c r="G27" s="7"/>
      <c r="H27" s="51"/>
    </row>
    <row r="28" spans="1:8" x14ac:dyDescent="0.55000000000000004">
      <c r="A28" s="19" t="s">
        <v>128</v>
      </c>
      <c r="B28" s="7">
        <v>58</v>
      </c>
      <c r="C28" s="7">
        <v>75</v>
      </c>
      <c r="D28" s="67" t="s">
        <v>17</v>
      </c>
      <c r="E28" s="7">
        <v>5</v>
      </c>
      <c r="F28" s="7" t="s">
        <v>16</v>
      </c>
      <c r="G28" s="7"/>
      <c r="H28" s="51"/>
    </row>
    <row r="29" spans="1:8" x14ac:dyDescent="0.55000000000000004">
      <c r="A29" s="19" t="s">
        <v>131</v>
      </c>
      <c r="B29" s="7">
        <v>57</v>
      </c>
      <c r="C29" s="7">
        <v>72</v>
      </c>
      <c r="D29" s="67" t="s">
        <v>17</v>
      </c>
      <c r="E29" s="7">
        <v>5</v>
      </c>
      <c r="F29" s="7" t="s">
        <v>16</v>
      </c>
      <c r="G29" s="7"/>
      <c r="H29" s="51"/>
    </row>
    <row r="30" spans="1:8" ht="14.7" thickBot="1" x14ac:dyDescent="0.6">
      <c r="A30" s="52" t="s">
        <v>132</v>
      </c>
      <c r="B30" s="12">
        <v>59</v>
      </c>
      <c r="C30" s="12">
        <v>74</v>
      </c>
      <c r="D30" s="81" t="s">
        <v>17</v>
      </c>
      <c r="E30" s="7">
        <v>5</v>
      </c>
      <c r="F30" s="12" t="s">
        <v>16</v>
      </c>
      <c r="G30" s="12">
        <v>867.5</v>
      </c>
      <c r="H30" s="64">
        <f>Tabla26914[[#This Row],[Total cluster weight (g)]]/COUNTA(A26:A30)</f>
        <v>173.5</v>
      </c>
    </row>
    <row r="31" spans="1:8" x14ac:dyDescent="0.55000000000000004">
      <c r="A31" s="19" t="s">
        <v>133</v>
      </c>
      <c r="B31" s="7">
        <v>55</v>
      </c>
      <c r="C31" s="7">
        <v>67</v>
      </c>
      <c r="D31" s="67" t="s">
        <v>17</v>
      </c>
      <c r="E31" s="7">
        <v>6</v>
      </c>
      <c r="F31" s="7" t="s">
        <v>15</v>
      </c>
      <c r="G31" s="7"/>
      <c r="H31" s="51"/>
    </row>
    <row r="32" spans="1:8" x14ac:dyDescent="0.55000000000000004">
      <c r="A32" s="19" t="s">
        <v>134</v>
      </c>
      <c r="B32" s="7">
        <v>58</v>
      </c>
      <c r="C32" s="7">
        <v>71</v>
      </c>
      <c r="D32" s="67" t="s">
        <v>17</v>
      </c>
      <c r="E32" s="7">
        <v>6</v>
      </c>
      <c r="F32" s="7" t="s">
        <v>16</v>
      </c>
      <c r="G32" s="7"/>
      <c r="H32" s="51"/>
    </row>
    <row r="33" spans="1:8" x14ac:dyDescent="0.55000000000000004">
      <c r="A33" s="19" t="s">
        <v>135</v>
      </c>
      <c r="B33" s="7">
        <v>58</v>
      </c>
      <c r="C33" s="7">
        <v>70</v>
      </c>
      <c r="D33" s="67" t="s">
        <v>17</v>
      </c>
      <c r="E33" s="7">
        <v>6</v>
      </c>
      <c r="F33" s="7" t="s">
        <v>16</v>
      </c>
      <c r="G33" s="7"/>
      <c r="H33" s="51"/>
    </row>
    <row r="34" spans="1:8" ht="14.7" thickBot="1" x14ac:dyDescent="0.6">
      <c r="A34" s="52" t="s">
        <v>136</v>
      </c>
      <c r="B34" s="12">
        <v>55</v>
      </c>
      <c r="C34" s="12">
        <v>68</v>
      </c>
      <c r="D34" s="81" t="s">
        <v>17</v>
      </c>
      <c r="E34" s="7">
        <v>6</v>
      </c>
      <c r="F34" s="12" t="s">
        <v>16</v>
      </c>
      <c r="G34" s="12">
        <v>585</v>
      </c>
      <c r="H34" s="64">
        <f>Tabla26914[[#This Row],[Total cluster weight (g)]]/COUNTA(A31:A34)</f>
        <v>146.25</v>
      </c>
    </row>
    <row r="35" spans="1:8" x14ac:dyDescent="0.55000000000000004">
      <c r="A35" s="19" t="s">
        <v>137</v>
      </c>
      <c r="B35" s="7">
        <v>58</v>
      </c>
      <c r="C35" s="7">
        <v>67</v>
      </c>
      <c r="D35" s="67" t="s">
        <v>17</v>
      </c>
      <c r="E35" s="7">
        <v>7</v>
      </c>
      <c r="F35" s="7" t="s">
        <v>15</v>
      </c>
      <c r="G35" s="7"/>
      <c r="H35" s="51"/>
    </row>
    <row r="36" spans="1:8" x14ac:dyDescent="0.55000000000000004">
      <c r="A36" s="19" t="s">
        <v>138</v>
      </c>
      <c r="B36" s="7">
        <v>56</v>
      </c>
      <c r="C36" s="7">
        <v>69</v>
      </c>
      <c r="D36" s="67" t="s">
        <v>17</v>
      </c>
      <c r="E36" s="7">
        <v>7</v>
      </c>
      <c r="F36" s="7" t="s">
        <v>16</v>
      </c>
      <c r="G36" s="7"/>
      <c r="H36" s="51"/>
    </row>
    <row r="37" spans="1:8" x14ac:dyDescent="0.55000000000000004">
      <c r="A37" s="19" t="s">
        <v>139</v>
      </c>
      <c r="B37" s="7">
        <v>56</v>
      </c>
      <c r="C37" s="7">
        <v>68</v>
      </c>
      <c r="D37" s="67" t="s">
        <v>17</v>
      </c>
      <c r="E37" s="7">
        <v>7</v>
      </c>
      <c r="F37" s="7" t="s">
        <v>16</v>
      </c>
      <c r="G37" s="7"/>
      <c r="H37" s="51"/>
    </row>
    <row r="38" spans="1:8" x14ac:dyDescent="0.55000000000000004">
      <c r="A38" s="19" t="s">
        <v>140</v>
      </c>
      <c r="B38" s="7">
        <v>59</v>
      </c>
      <c r="C38" s="7">
        <v>70</v>
      </c>
      <c r="D38" s="67" t="s">
        <v>17</v>
      </c>
      <c r="E38" s="7">
        <v>7</v>
      </c>
      <c r="F38" s="7" t="s">
        <v>16</v>
      </c>
      <c r="G38" s="7"/>
      <c r="H38" s="51"/>
    </row>
    <row r="39" spans="1:8" ht="14.7" thickBot="1" x14ac:dyDescent="0.6">
      <c r="A39" s="52" t="s">
        <v>142</v>
      </c>
      <c r="B39" s="12">
        <v>58</v>
      </c>
      <c r="C39" s="12">
        <v>64</v>
      </c>
      <c r="D39" s="81" t="s">
        <v>17</v>
      </c>
      <c r="E39" s="7">
        <v>7</v>
      </c>
      <c r="F39" s="12" t="s">
        <v>16</v>
      </c>
      <c r="G39" s="12">
        <v>706</v>
      </c>
      <c r="H39" s="64">
        <f>Tabla26914[[#This Row],[Total cluster weight (g)]]/COUNTA(A35:A39)</f>
        <v>141.19999999999999</v>
      </c>
    </row>
    <row r="40" spans="1:8" x14ac:dyDescent="0.55000000000000004">
      <c r="A40" s="4" t="s">
        <v>157</v>
      </c>
      <c r="B40" s="7">
        <v>56</v>
      </c>
      <c r="C40" s="7">
        <v>64</v>
      </c>
      <c r="D40" s="105" t="s">
        <v>17</v>
      </c>
      <c r="E40" s="7">
        <v>8</v>
      </c>
      <c r="F40" s="7" t="s">
        <v>16</v>
      </c>
      <c r="G40" s="7"/>
      <c r="H40" s="50"/>
    </row>
    <row r="41" spans="1:8" x14ac:dyDescent="0.55000000000000004">
      <c r="A41" s="6" t="s">
        <v>158</v>
      </c>
      <c r="B41" s="7">
        <v>56</v>
      </c>
      <c r="C41" s="7">
        <v>67</v>
      </c>
      <c r="D41" s="105" t="s">
        <v>17</v>
      </c>
      <c r="E41" s="7">
        <v>8</v>
      </c>
      <c r="F41" s="7" t="s">
        <v>16</v>
      </c>
      <c r="G41" s="7"/>
      <c r="H41" s="50"/>
    </row>
    <row r="42" spans="1:8" x14ac:dyDescent="0.55000000000000004">
      <c r="A42" s="8" t="s">
        <v>159</v>
      </c>
      <c r="B42" s="7">
        <v>56</v>
      </c>
      <c r="C42" s="7">
        <v>68</v>
      </c>
      <c r="D42" s="105" t="s">
        <v>17</v>
      </c>
      <c r="E42" s="7">
        <v>8</v>
      </c>
      <c r="F42" s="7" t="s">
        <v>16</v>
      </c>
      <c r="G42" s="7"/>
      <c r="H42" s="50"/>
    </row>
    <row r="43" spans="1:8" ht="14.7" thickBot="1" x14ac:dyDescent="0.6">
      <c r="A43" s="11" t="s">
        <v>146</v>
      </c>
      <c r="B43" s="12">
        <v>55</v>
      </c>
      <c r="C43" s="12">
        <v>66</v>
      </c>
      <c r="D43" s="106" t="s">
        <v>17</v>
      </c>
      <c r="E43" s="7">
        <v>8</v>
      </c>
      <c r="F43" s="12" t="s">
        <v>16</v>
      </c>
      <c r="G43" s="12">
        <v>552</v>
      </c>
      <c r="H43" s="58">
        <f>Tabla26914[[#This Row],[Total cluster weight (g)]]/COUNTA(A40:A43)</f>
        <v>138</v>
      </c>
    </row>
    <row r="44" spans="1:8" x14ac:dyDescent="0.55000000000000004">
      <c r="A44" s="9" t="s">
        <v>148</v>
      </c>
      <c r="B44" s="10">
        <v>55</v>
      </c>
      <c r="C44" s="10">
        <v>65</v>
      </c>
      <c r="D44" s="107" t="s">
        <v>17</v>
      </c>
      <c r="E44" s="10">
        <v>9</v>
      </c>
      <c r="F44" s="10" t="s">
        <v>15</v>
      </c>
      <c r="G44" s="10"/>
      <c r="H44" s="54"/>
    </row>
    <row r="45" spans="1:8" x14ac:dyDescent="0.55000000000000004">
      <c r="A45" s="6" t="s">
        <v>149</v>
      </c>
      <c r="B45" s="7">
        <v>54</v>
      </c>
      <c r="C45" s="7">
        <v>68</v>
      </c>
      <c r="D45" s="105" t="s">
        <v>17</v>
      </c>
      <c r="E45" s="10">
        <v>9</v>
      </c>
      <c r="F45" s="7" t="s">
        <v>15</v>
      </c>
      <c r="G45" s="7"/>
      <c r="H45" s="50"/>
    </row>
    <row r="46" spans="1:8" x14ac:dyDescent="0.55000000000000004">
      <c r="A46" s="8" t="s">
        <v>150</v>
      </c>
      <c r="B46" s="7">
        <v>57</v>
      </c>
      <c r="C46" s="7">
        <v>73</v>
      </c>
      <c r="D46" s="105" t="s">
        <v>17</v>
      </c>
      <c r="E46" s="10">
        <v>9</v>
      </c>
      <c r="F46" s="7" t="s">
        <v>16</v>
      </c>
      <c r="G46" s="7"/>
      <c r="H46" s="50"/>
    </row>
    <row r="47" spans="1:8" x14ac:dyDescent="0.55000000000000004">
      <c r="A47" s="9" t="s">
        <v>151</v>
      </c>
      <c r="B47" s="7">
        <v>55</v>
      </c>
      <c r="C47" s="7">
        <v>70</v>
      </c>
      <c r="D47" s="105" t="s">
        <v>17</v>
      </c>
      <c r="E47" s="10">
        <v>9</v>
      </c>
      <c r="F47" s="7" t="s">
        <v>16</v>
      </c>
      <c r="G47" s="7"/>
      <c r="H47" s="50"/>
    </row>
    <row r="48" spans="1:8" ht="14.7" thickBot="1" x14ac:dyDescent="0.6">
      <c r="A48" s="11" t="s">
        <v>152</v>
      </c>
      <c r="B48" s="12">
        <v>54</v>
      </c>
      <c r="C48" s="12">
        <v>69</v>
      </c>
      <c r="D48" s="106" t="s">
        <v>17</v>
      </c>
      <c r="E48" s="10">
        <v>9</v>
      </c>
      <c r="F48" s="12" t="s">
        <v>16</v>
      </c>
      <c r="G48" s="12">
        <v>696.5</v>
      </c>
      <c r="H48" s="58">
        <f>Tabla26914[[#This Row],[Total cluster weight (g)]]/COUNTA(A44:A48)</f>
        <v>139.30000000000001</v>
      </c>
    </row>
    <row r="49" spans="1:8" x14ac:dyDescent="0.55000000000000004">
      <c r="A49" s="4" t="s">
        <v>153</v>
      </c>
      <c r="B49" s="7">
        <v>55</v>
      </c>
      <c r="C49" s="7">
        <v>64</v>
      </c>
      <c r="D49" s="14" t="s">
        <v>17</v>
      </c>
      <c r="E49" s="7">
        <v>10</v>
      </c>
      <c r="F49" s="7" t="s">
        <v>16</v>
      </c>
      <c r="G49" s="7"/>
      <c r="H49" s="50"/>
    </row>
    <row r="50" spans="1:8" x14ac:dyDescent="0.55000000000000004">
      <c r="A50" s="6" t="s">
        <v>154</v>
      </c>
      <c r="B50" s="7">
        <v>53</v>
      </c>
      <c r="C50" s="7">
        <v>62</v>
      </c>
      <c r="D50" s="14" t="s">
        <v>17</v>
      </c>
      <c r="E50" s="7">
        <v>10</v>
      </c>
      <c r="F50" s="7" t="s">
        <v>16</v>
      </c>
      <c r="G50" s="7"/>
      <c r="H50" s="50"/>
    </row>
    <row r="51" spans="1:8" x14ac:dyDescent="0.55000000000000004">
      <c r="A51" s="8" t="s">
        <v>164</v>
      </c>
      <c r="B51" s="7">
        <v>49</v>
      </c>
      <c r="C51" s="7">
        <v>55</v>
      </c>
      <c r="D51" s="14" t="s">
        <v>17</v>
      </c>
      <c r="E51" s="7">
        <v>10</v>
      </c>
      <c r="F51" s="7" t="s">
        <v>16</v>
      </c>
      <c r="G51" s="7"/>
      <c r="H51" s="50"/>
    </row>
    <row r="52" spans="1:8" ht="14.7" thickBot="1" x14ac:dyDescent="0.6">
      <c r="A52" s="11" t="s">
        <v>165</v>
      </c>
      <c r="B52" s="12">
        <v>55</v>
      </c>
      <c r="C52" s="12">
        <v>66</v>
      </c>
      <c r="D52" s="16" t="s">
        <v>17</v>
      </c>
      <c r="E52" s="7">
        <v>10</v>
      </c>
      <c r="F52" s="12" t="s">
        <v>16</v>
      </c>
      <c r="G52" s="12">
        <v>461</v>
      </c>
      <c r="H52" s="58">
        <f>Tabla26914[[#This Row],[Total cluster weight (g)]]/COUNTA(A49:A52)</f>
        <v>115.25</v>
      </c>
    </row>
    <row r="53" spans="1:8" x14ac:dyDescent="0.55000000000000004">
      <c r="A53" s="4" t="s">
        <v>185</v>
      </c>
      <c r="B53" s="7">
        <v>55</v>
      </c>
      <c r="C53" s="7">
        <v>65</v>
      </c>
      <c r="D53" s="14" t="s">
        <v>17</v>
      </c>
      <c r="E53" s="7">
        <v>11</v>
      </c>
      <c r="F53" s="7" t="s">
        <v>16</v>
      </c>
      <c r="G53" s="7"/>
      <c r="H53" s="50"/>
    </row>
    <row r="54" spans="1:8" x14ac:dyDescent="0.55000000000000004">
      <c r="A54" s="6" t="s">
        <v>186</v>
      </c>
      <c r="B54" s="7">
        <v>53</v>
      </c>
      <c r="C54" s="7">
        <v>59</v>
      </c>
      <c r="D54" s="14" t="s">
        <v>17</v>
      </c>
      <c r="E54" s="7">
        <v>11</v>
      </c>
      <c r="F54" s="7" t="s">
        <v>16</v>
      </c>
      <c r="G54" s="7"/>
      <c r="H54" s="50"/>
    </row>
    <row r="55" spans="1:8" x14ac:dyDescent="0.55000000000000004">
      <c r="A55" s="8" t="s">
        <v>187</v>
      </c>
      <c r="B55" s="7">
        <v>55</v>
      </c>
      <c r="C55" s="7">
        <v>62</v>
      </c>
      <c r="D55" s="14" t="s">
        <v>17</v>
      </c>
      <c r="E55" s="7">
        <v>11</v>
      </c>
      <c r="F55" s="7" t="s">
        <v>16</v>
      </c>
      <c r="G55" s="7"/>
      <c r="H55" s="50"/>
    </row>
    <row r="56" spans="1:8" ht="14.7" thickBot="1" x14ac:dyDescent="0.6">
      <c r="A56" s="11" t="s">
        <v>188</v>
      </c>
      <c r="B56" s="12">
        <v>55</v>
      </c>
      <c r="C56" s="12">
        <v>66</v>
      </c>
      <c r="D56" s="16" t="s">
        <v>17</v>
      </c>
      <c r="E56" s="7">
        <v>11</v>
      </c>
      <c r="F56" s="12" t="s">
        <v>16</v>
      </c>
      <c r="G56" s="12">
        <v>497.5</v>
      </c>
      <c r="H56" s="58">
        <f>Tabla26914[[#This Row],[Total cluster weight (g)]]/COUNTA(A53:A56)</f>
        <v>124.375</v>
      </c>
    </row>
    <row r="57" spans="1:8" x14ac:dyDescent="0.55000000000000004">
      <c r="A57" s="19"/>
      <c r="B57" s="20"/>
      <c r="C57" s="2"/>
      <c r="D57" s="21"/>
      <c r="E57" s="2"/>
      <c r="F57" s="2"/>
      <c r="G57" s="2"/>
    </row>
    <row r="58" spans="1:8" x14ac:dyDescent="0.55000000000000004">
      <c r="A58" s="39" t="s">
        <v>57</v>
      </c>
      <c r="B58" s="35" t="s">
        <v>44</v>
      </c>
      <c r="C58" s="35" t="s">
        <v>45</v>
      </c>
      <c r="D58" s="35" t="s">
        <v>46</v>
      </c>
      <c r="E58" s="35" t="s">
        <v>47</v>
      </c>
      <c r="F58" s="36" t="s">
        <v>56</v>
      </c>
      <c r="G58" s="60" t="s">
        <v>72</v>
      </c>
    </row>
    <row r="59" spans="1:8" x14ac:dyDescent="0.55000000000000004">
      <c r="A59" s="40" t="s">
        <v>48</v>
      </c>
      <c r="B59" s="37">
        <f>AVERAGE(Tabla26914[Height (mm)])</f>
        <v>56</v>
      </c>
      <c r="C59" s="37">
        <f>AVERAGE(Tabla26914[Width (mm)])</f>
        <v>68.470588235294116</v>
      </c>
      <c r="D59" s="37">
        <f>MAX(Tabla26914[[Cluster number ]])</f>
        <v>11</v>
      </c>
      <c r="E59" s="37">
        <f>AVERAGE(Tabla26914[Tomato average weight per cluster])</f>
        <v>145.15227272727273</v>
      </c>
      <c r="F59" s="38">
        <f>COUNTA(Tabla26914["L11" PLANT])</f>
        <v>51</v>
      </c>
      <c r="G59" s="59">
        <f>SUM(Tabla26914[Total cluster weight (g)])</f>
        <v>7459.5</v>
      </c>
    </row>
    <row r="61" spans="1:8" x14ac:dyDescent="0.55000000000000004">
      <c r="A61" s="3" t="s">
        <v>32</v>
      </c>
      <c r="B61" t="s">
        <v>2</v>
      </c>
      <c r="C61" t="s">
        <v>3</v>
      </c>
      <c r="D61" t="s">
        <v>4</v>
      </c>
      <c r="E61" t="s">
        <v>5</v>
      </c>
      <c r="F61" t="s">
        <v>6</v>
      </c>
      <c r="G61" t="s">
        <v>7</v>
      </c>
      <c r="H61" s="34" t="s">
        <v>43</v>
      </c>
    </row>
    <row r="62" spans="1:8" x14ac:dyDescent="0.55000000000000004">
      <c r="A62" s="22" t="s">
        <v>107</v>
      </c>
      <c r="B62" s="10">
        <v>56</v>
      </c>
      <c r="C62" s="10">
        <v>64</v>
      </c>
      <c r="D62" s="10" t="s">
        <v>17</v>
      </c>
      <c r="E62" s="10">
        <v>1</v>
      </c>
      <c r="F62" s="10" t="s">
        <v>15</v>
      </c>
      <c r="G62" s="10"/>
      <c r="H62" s="66"/>
    </row>
    <row r="63" spans="1:8" x14ac:dyDescent="0.55000000000000004">
      <c r="A63" s="8" t="s">
        <v>108</v>
      </c>
      <c r="B63" s="7">
        <v>57</v>
      </c>
      <c r="C63" s="7">
        <v>67</v>
      </c>
      <c r="D63" s="7" t="s">
        <v>17</v>
      </c>
      <c r="E63" s="10">
        <v>1</v>
      </c>
      <c r="F63" s="7" t="s">
        <v>15</v>
      </c>
      <c r="G63" s="7"/>
      <c r="H63" s="51"/>
    </row>
    <row r="64" spans="1:8" x14ac:dyDescent="0.55000000000000004">
      <c r="A64" s="8" t="s">
        <v>109</v>
      </c>
      <c r="B64" s="7">
        <v>59</v>
      </c>
      <c r="C64" s="7">
        <v>67</v>
      </c>
      <c r="D64" s="7" t="s">
        <v>17</v>
      </c>
      <c r="E64" s="10">
        <v>1</v>
      </c>
      <c r="F64" s="7" t="s">
        <v>15</v>
      </c>
      <c r="G64" s="7"/>
      <c r="H64" s="51"/>
    </row>
    <row r="65" spans="1:8" x14ac:dyDescent="0.55000000000000004">
      <c r="A65" s="8" t="s">
        <v>110</v>
      </c>
      <c r="B65" s="7">
        <v>58</v>
      </c>
      <c r="C65" s="7">
        <v>70</v>
      </c>
      <c r="D65" s="7" t="s">
        <v>17</v>
      </c>
      <c r="E65" s="10">
        <v>1</v>
      </c>
      <c r="F65" s="7" t="s">
        <v>15</v>
      </c>
      <c r="G65" s="7"/>
      <c r="H65" s="51"/>
    </row>
    <row r="66" spans="1:8" ht="14.7" thickBot="1" x14ac:dyDescent="0.6">
      <c r="A66" s="23" t="s">
        <v>111</v>
      </c>
      <c r="B66" s="12">
        <v>56</v>
      </c>
      <c r="C66" s="12">
        <v>67</v>
      </c>
      <c r="D66" s="12" t="s">
        <v>17</v>
      </c>
      <c r="E66" s="10">
        <v>1</v>
      </c>
      <c r="F66" s="12" t="s">
        <v>15</v>
      </c>
      <c r="G66" s="12">
        <v>707.5</v>
      </c>
      <c r="H66" s="64">
        <f>Tabla2691619[[#This Row],[Total cluster weight (g)]]/COUNTA(A62:A66)</f>
        <v>141.5</v>
      </c>
    </row>
    <row r="67" spans="1:8" x14ac:dyDescent="0.55000000000000004">
      <c r="A67" s="4" t="s">
        <v>119</v>
      </c>
      <c r="B67" s="5">
        <v>52</v>
      </c>
      <c r="C67" s="5">
        <v>63</v>
      </c>
      <c r="D67" s="67" t="s">
        <v>17</v>
      </c>
      <c r="E67" s="7">
        <v>2</v>
      </c>
      <c r="F67" s="13" t="s">
        <v>16</v>
      </c>
      <c r="G67" s="7"/>
      <c r="H67" s="56"/>
    </row>
    <row r="68" spans="1:8" x14ac:dyDescent="0.55000000000000004">
      <c r="A68" s="6" t="s">
        <v>120</v>
      </c>
      <c r="B68" s="7">
        <v>53</v>
      </c>
      <c r="C68" s="7">
        <v>65</v>
      </c>
      <c r="D68" s="67" t="s">
        <v>17</v>
      </c>
      <c r="E68" s="7">
        <v>2</v>
      </c>
      <c r="F68" s="7" t="s">
        <v>16</v>
      </c>
      <c r="G68" s="7"/>
      <c r="H68" s="56"/>
    </row>
    <row r="69" spans="1:8" x14ac:dyDescent="0.55000000000000004">
      <c r="A69" s="8" t="s">
        <v>121</v>
      </c>
      <c r="B69" s="7">
        <v>54</v>
      </c>
      <c r="C69" s="7">
        <v>67</v>
      </c>
      <c r="D69" s="67" t="s">
        <v>17</v>
      </c>
      <c r="E69" s="7">
        <v>2</v>
      </c>
      <c r="F69" s="7" t="s">
        <v>16</v>
      </c>
      <c r="G69" s="7"/>
      <c r="H69" s="56"/>
    </row>
    <row r="70" spans="1:8" x14ac:dyDescent="0.55000000000000004">
      <c r="A70" s="9" t="s">
        <v>122</v>
      </c>
      <c r="B70" s="10">
        <v>54</v>
      </c>
      <c r="C70" s="10">
        <v>70</v>
      </c>
      <c r="D70" s="67" t="s">
        <v>17</v>
      </c>
      <c r="E70" s="7">
        <v>2</v>
      </c>
      <c r="F70" s="7" t="s">
        <v>16</v>
      </c>
      <c r="G70" s="7"/>
      <c r="H70" s="56"/>
    </row>
    <row r="71" spans="1:8" ht="14.7" thickBot="1" x14ac:dyDescent="0.6">
      <c r="A71" s="11" t="s">
        <v>123</v>
      </c>
      <c r="B71" s="12">
        <v>55</v>
      </c>
      <c r="C71" s="12">
        <v>68</v>
      </c>
      <c r="D71" s="81" t="s">
        <v>17</v>
      </c>
      <c r="E71" s="7">
        <v>2</v>
      </c>
      <c r="F71" s="15" t="s">
        <v>16</v>
      </c>
      <c r="G71" s="12">
        <v>658</v>
      </c>
      <c r="H71" s="87">
        <f>Tabla2691619[[#This Row],[Total cluster weight (g)]]/COUNTA(A67:A71)</f>
        <v>131.6</v>
      </c>
    </row>
    <row r="72" spans="1:8" x14ac:dyDescent="0.55000000000000004">
      <c r="A72" s="22" t="s">
        <v>124</v>
      </c>
      <c r="B72" s="10">
        <v>56</v>
      </c>
      <c r="C72" s="10">
        <v>63</v>
      </c>
      <c r="D72" s="71" t="s">
        <v>17</v>
      </c>
      <c r="E72" s="10">
        <v>3</v>
      </c>
      <c r="F72" s="10" t="s">
        <v>16</v>
      </c>
      <c r="G72" s="10"/>
      <c r="H72" s="66"/>
    </row>
    <row r="73" spans="1:8" x14ac:dyDescent="0.55000000000000004">
      <c r="A73" s="8" t="s">
        <v>125</v>
      </c>
      <c r="B73" s="7">
        <v>56</v>
      </c>
      <c r="C73" s="7">
        <v>63</v>
      </c>
      <c r="D73" s="67" t="s">
        <v>17</v>
      </c>
      <c r="E73" s="10">
        <v>3</v>
      </c>
      <c r="F73" s="7" t="s">
        <v>16</v>
      </c>
      <c r="G73" s="7"/>
      <c r="H73" s="51"/>
    </row>
    <row r="74" spans="1:8" x14ac:dyDescent="0.55000000000000004">
      <c r="A74" s="8" t="s">
        <v>126</v>
      </c>
      <c r="B74" s="7">
        <v>55</v>
      </c>
      <c r="C74" s="7">
        <v>69</v>
      </c>
      <c r="D74" s="67" t="s">
        <v>17</v>
      </c>
      <c r="E74" s="10">
        <v>3</v>
      </c>
      <c r="F74" s="7" t="s">
        <v>16</v>
      </c>
      <c r="G74" s="7"/>
      <c r="H74" s="51"/>
    </row>
    <row r="75" spans="1:8" x14ac:dyDescent="0.55000000000000004">
      <c r="A75" s="8" t="s">
        <v>127</v>
      </c>
      <c r="B75" s="7">
        <v>55</v>
      </c>
      <c r="C75" s="7">
        <v>64</v>
      </c>
      <c r="D75" s="67" t="s">
        <v>17</v>
      </c>
      <c r="E75" s="10">
        <v>3</v>
      </c>
      <c r="F75" s="7" t="s">
        <v>16</v>
      </c>
      <c r="G75" s="7"/>
      <c r="H75" s="51"/>
    </row>
    <row r="76" spans="1:8" ht="14.7" thickBot="1" x14ac:dyDescent="0.6">
      <c r="A76" s="23" t="s">
        <v>128</v>
      </c>
      <c r="B76" s="12">
        <v>54</v>
      </c>
      <c r="C76" s="12">
        <v>67</v>
      </c>
      <c r="D76" s="81" t="s">
        <v>17</v>
      </c>
      <c r="E76" s="10">
        <v>3</v>
      </c>
      <c r="F76" s="12" t="s">
        <v>16</v>
      </c>
      <c r="G76" s="12">
        <v>639.5</v>
      </c>
      <c r="H76" s="64">
        <f>Tabla2691619[[#This Row],[Total cluster weight (g)]]/COUNTA(A72:A76)</f>
        <v>127.9</v>
      </c>
    </row>
    <row r="77" spans="1:8" x14ac:dyDescent="0.55000000000000004">
      <c r="A77" s="22" t="s">
        <v>131</v>
      </c>
      <c r="B77" s="10">
        <v>55</v>
      </c>
      <c r="C77" s="10">
        <v>62</v>
      </c>
      <c r="D77" s="71" t="s">
        <v>17</v>
      </c>
      <c r="E77" s="10">
        <v>4</v>
      </c>
      <c r="F77" s="10" t="s">
        <v>15</v>
      </c>
      <c r="G77" s="10"/>
      <c r="H77" s="66"/>
    </row>
    <row r="78" spans="1:8" x14ac:dyDescent="0.55000000000000004">
      <c r="A78" s="8" t="s">
        <v>132</v>
      </c>
      <c r="B78" s="7">
        <v>55</v>
      </c>
      <c r="C78" s="7">
        <v>63</v>
      </c>
      <c r="D78" s="67" t="s">
        <v>17</v>
      </c>
      <c r="E78" s="10">
        <v>4</v>
      </c>
      <c r="F78" s="7" t="s">
        <v>16</v>
      </c>
      <c r="G78" s="7"/>
      <c r="H78" s="51"/>
    </row>
    <row r="79" spans="1:8" x14ac:dyDescent="0.55000000000000004">
      <c r="A79" s="8" t="s">
        <v>133</v>
      </c>
      <c r="B79" s="7">
        <v>53</v>
      </c>
      <c r="C79" s="7">
        <v>68</v>
      </c>
      <c r="D79" s="67" t="s">
        <v>17</v>
      </c>
      <c r="E79" s="10">
        <v>4</v>
      </c>
      <c r="F79" s="7" t="s">
        <v>16</v>
      </c>
      <c r="G79" s="7"/>
      <c r="H79" s="51"/>
    </row>
    <row r="80" spans="1:8" x14ac:dyDescent="0.55000000000000004">
      <c r="A80" s="8" t="s">
        <v>134</v>
      </c>
      <c r="B80" s="7">
        <v>54</v>
      </c>
      <c r="C80" s="7">
        <v>67</v>
      </c>
      <c r="D80" s="67" t="s">
        <v>17</v>
      </c>
      <c r="E80" s="10">
        <v>4</v>
      </c>
      <c r="F80" s="7" t="s">
        <v>16</v>
      </c>
      <c r="G80" s="7"/>
      <c r="H80" s="51"/>
    </row>
    <row r="81" spans="1:8" ht="14.7" thickBot="1" x14ac:dyDescent="0.6">
      <c r="A81" s="23" t="s">
        <v>135</v>
      </c>
      <c r="B81" s="12">
        <v>55</v>
      </c>
      <c r="C81" s="12">
        <v>70</v>
      </c>
      <c r="D81" s="81" t="s">
        <v>17</v>
      </c>
      <c r="E81" s="10">
        <v>4</v>
      </c>
      <c r="F81" s="12" t="s">
        <v>16</v>
      </c>
      <c r="G81" s="12">
        <v>678</v>
      </c>
      <c r="H81" s="64">
        <f>Tabla2691619[[#This Row],[Total cluster weight (g)]]/COUNTA(A77:A81)</f>
        <v>135.6</v>
      </c>
    </row>
    <row r="82" spans="1:8" x14ac:dyDescent="0.55000000000000004">
      <c r="A82" s="22" t="s">
        <v>136</v>
      </c>
      <c r="B82" s="10">
        <v>55</v>
      </c>
      <c r="C82" s="10">
        <v>66</v>
      </c>
      <c r="D82" s="71" t="s">
        <v>17</v>
      </c>
      <c r="E82" s="10">
        <v>5</v>
      </c>
      <c r="F82" s="10" t="s">
        <v>16</v>
      </c>
      <c r="G82" s="10"/>
      <c r="H82" s="66"/>
    </row>
    <row r="83" spans="1:8" x14ac:dyDescent="0.55000000000000004">
      <c r="A83" s="8" t="s">
        <v>137</v>
      </c>
      <c r="B83" s="7">
        <v>55</v>
      </c>
      <c r="C83" s="7">
        <v>71</v>
      </c>
      <c r="D83" s="67" t="s">
        <v>17</v>
      </c>
      <c r="E83" s="10">
        <v>5</v>
      </c>
      <c r="F83" s="7" t="s">
        <v>16</v>
      </c>
      <c r="G83" s="7"/>
      <c r="H83" s="51"/>
    </row>
    <row r="84" spans="1:8" x14ac:dyDescent="0.55000000000000004">
      <c r="A84" s="8" t="s">
        <v>138</v>
      </c>
      <c r="B84" s="7">
        <v>56</v>
      </c>
      <c r="C84" s="7">
        <v>70</v>
      </c>
      <c r="D84" s="67" t="s">
        <v>17</v>
      </c>
      <c r="E84" s="10">
        <v>5</v>
      </c>
      <c r="F84" s="7" t="s">
        <v>16</v>
      </c>
      <c r="G84" s="7"/>
      <c r="H84" s="51"/>
    </row>
    <row r="85" spans="1:8" ht="14.7" thickBot="1" x14ac:dyDescent="0.6">
      <c r="A85" s="23" t="s">
        <v>139</v>
      </c>
      <c r="B85" s="12">
        <v>58</v>
      </c>
      <c r="C85" s="12">
        <v>70</v>
      </c>
      <c r="D85" s="81" t="s">
        <v>17</v>
      </c>
      <c r="E85" s="10">
        <v>5</v>
      </c>
      <c r="F85" s="12" t="s">
        <v>16</v>
      </c>
      <c r="G85" s="12">
        <v>577.5</v>
      </c>
      <c r="H85" s="64">
        <f>Tabla2691619[[#This Row],[Total cluster weight (g)]]/COUNTA(A82:A85)</f>
        <v>144.375</v>
      </c>
    </row>
    <row r="86" spans="1:8" x14ac:dyDescent="0.55000000000000004">
      <c r="A86" s="22" t="s">
        <v>140</v>
      </c>
      <c r="B86" s="10">
        <v>60</v>
      </c>
      <c r="C86" s="10">
        <v>64</v>
      </c>
      <c r="D86" s="71" t="s">
        <v>17</v>
      </c>
      <c r="E86" s="10">
        <v>6</v>
      </c>
      <c r="F86" s="10" t="s">
        <v>23</v>
      </c>
      <c r="G86" s="10"/>
      <c r="H86" s="66"/>
    </row>
    <row r="87" spans="1:8" x14ac:dyDescent="0.55000000000000004">
      <c r="A87" s="8" t="s">
        <v>142</v>
      </c>
      <c r="B87" s="7">
        <v>60</v>
      </c>
      <c r="C87" s="7">
        <v>68</v>
      </c>
      <c r="D87" s="67" t="s">
        <v>17</v>
      </c>
      <c r="E87" s="10">
        <v>6</v>
      </c>
      <c r="F87" s="7" t="s">
        <v>15</v>
      </c>
      <c r="G87" s="7"/>
      <c r="H87" s="51"/>
    </row>
    <row r="88" spans="1:8" x14ac:dyDescent="0.55000000000000004">
      <c r="A88" s="8" t="s">
        <v>143</v>
      </c>
      <c r="B88" s="7">
        <v>55</v>
      </c>
      <c r="C88" s="7">
        <v>63</v>
      </c>
      <c r="D88" s="67" t="s">
        <v>17</v>
      </c>
      <c r="E88" s="10">
        <v>6</v>
      </c>
      <c r="F88" s="7" t="s">
        <v>16</v>
      </c>
      <c r="G88" s="7"/>
      <c r="H88" s="51"/>
    </row>
    <row r="89" spans="1:8" x14ac:dyDescent="0.55000000000000004">
      <c r="A89" s="8" t="s">
        <v>144</v>
      </c>
      <c r="B89" s="7">
        <v>53</v>
      </c>
      <c r="C89" s="7">
        <v>64</v>
      </c>
      <c r="D89" s="67" t="s">
        <v>17</v>
      </c>
      <c r="E89" s="10">
        <v>6</v>
      </c>
      <c r="F89" s="7" t="s">
        <v>16</v>
      </c>
      <c r="G89" s="7"/>
      <c r="H89" s="51"/>
    </row>
    <row r="90" spans="1:8" ht="14.7" thickBot="1" x14ac:dyDescent="0.6">
      <c r="A90" s="23" t="s">
        <v>145</v>
      </c>
      <c r="B90" s="12">
        <v>54</v>
      </c>
      <c r="C90" s="12">
        <v>64</v>
      </c>
      <c r="D90" s="81" t="s">
        <v>17</v>
      </c>
      <c r="E90" s="10">
        <v>6</v>
      </c>
      <c r="F90" s="12" t="s">
        <v>16</v>
      </c>
      <c r="G90" s="12">
        <v>615.5</v>
      </c>
      <c r="H90" s="64">
        <f>Tabla2691619[[#This Row],[Total cluster weight (g)]]/COUNTA(A86:A90)</f>
        <v>123.1</v>
      </c>
    </row>
    <row r="91" spans="1:8" x14ac:dyDescent="0.55000000000000004">
      <c r="A91" s="4" t="s">
        <v>146</v>
      </c>
      <c r="B91" s="5">
        <v>57</v>
      </c>
      <c r="C91" s="5">
        <v>66</v>
      </c>
      <c r="D91" s="14" t="s">
        <v>17</v>
      </c>
      <c r="E91" s="7">
        <v>7</v>
      </c>
      <c r="F91" s="13" t="s">
        <v>16</v>
      </c>
      <c r="G91" s="7"/>
      <c r="H91" s="85"/>
    </row>
    <row r="92" spans="1:8" x14ac:dyDescent="0.55000000000000004">
      <c r="A92" s="6" t="s">
        <v>148</v>
      </c>
      <c r="B92" s="7">
        <v>59</v>
      </c>
      <c r="C92" s="7">
        <v>64</v>
      </c>
      <c r="D92" s="14" t="s">
        <v>17</v>
      </c>
      <c r="E92" s="7">
        <v>7</v>
      </c>
      <c r="F92" s="7" t="s">
        <v>16</v>
      </c>
      <c r="G92" s="7"/>
      <c r="H92" s="85"/>
    </row>
    <row r="93" spans="1:8" x14ac:dyDescent="0.55000000000000004">
      <c r="A93" s="8" t="s">
        <v>149</v>
      </c>
      <c r="B93" s="7">
        <v>60</v>
      </c>
      <c r="C93" s="7">
        <v>66</v>
      </c>
      <c r="D93" s="14" t="s">
        <v>17</v>
      </c>
      <c r="E93" s="7">
        <v>7</v>
      </c>
      <c r="F93" s="7" t="s">
        <v>16</v>
      </c>
      <c r="G93" s="7"/>
      <c r="H93" s="85"/>
    </row>
    <row r="94" spans="1:8" x14ac:dyDescent="0.55000000000000004">
      <c r="A94" s="9" t="s">
        <v>150</v>
      </c>
      <c r="B94" s="10">
        <v>58</v>
      </c>
      <c r="C94" s="10">
        <v>64</v>
      </c>
      <c r="D94" s="14" t="s">
        <v>17</v>
      </c>
      <c r="E94" s="7">
        <v>7</v>
      </c>
      <c r="F94" s="7" t="s">
        <v>16</v>
      </c>
      <c r="G94" s="7"/>
      <c r="H94" s="85"/>
    </row>
    <row r="95" spans="1:8" ht="14.7" thickBot="1" x14ac:dyDescent="0.6">
      <c r="A95" s="11" t="s">
        <v>151</v>
      </c>
      <c r="B95" s="12">
        <v>59</v>
      </c>
      <c r="C95" s="12">
        <v>66</v>
      </c>
      <c r="D95" s="16" t="s">
        <v>17</v>
      </c>
      <c r="E95" s="7">
        <v>7</v>
      </c>
      <c r="F95" s="15" t="s">
        <v>16</v>
      </c>
      <c r="G95" s="12">
        <v>649.5</v>
      </c>
      <c r="H95" s="61">
        <f>Tabla2691619[[#This Row],[Total cluster weight (g)]]/COUNTA(A91:A95)</f>
        <v>129.9</v>
      </c>
    </row>
    <row r="96" spans="1:8" x14ac:dyDescent="0.55000000000000004">
      <c r="A96" s="9" t="s">
        <v>161</v>
      </c>
      <c r="B96" s="10">
        <v>59</v>
      </c>
      <c r="C96" s="10">
        <v>66</v>
      </c>
      <c r="D96" s="18" t="s">
        <v>17</v>
      </c>
      <c r="E96" s="10">
        <v>8</v>
      </c>
      <c r="F96" s="27" t="s">
        <v>15</v>
      </c>
      <c r="G96" s="10"/>
      <c r="H96" s="85"/>
    </row>
    <row r="97" spans="1:8" x14ac:dyDescent="0.55000000000000004">
      <c r="A97" s="6" t="s">
        <v>162</v>
      </c>
      <c r="B97" s="7">
        <v>58</v>
      </c>
      <c r="C97" s="7">
        <v>61</v>
      </c>
      <c r="D97" s="14" t="s">
        <v>17</v>
      </c>
      <c r="E97" s="10">
        <v>8</v>
      </c>
      <c r="F97" s="7" t="s">
        <v>15</v>
      </c>
      <c r="G97" s="7"/>
      <c r="H97" s="85"/>
    </row>
    <row r="98" spans="1:8" x14ac:dyDescent="0.55000000000000004">
      <c r="A98" s="8" t="s">
        <v>163</v>
      </c>
      <c r="B98" s="7">
        <v>60</v>
      </c>
      <c r="C98" s="7">
        <v>68</v>
      </c>
      <c r="D98" s="14" t="s">
        <v>17</v>
      </c>
      <c r="E98" s="10">
        <v>8</v>
      </c>
      <c r="F98" s="7" t="s">
        <v>15</v>
      </c>
      <c r="G98" s="7"/>
      <c r="H98" s="85"/>
    </row>
    <row r="99" spans="1:8" x14ac:dyDescent="0.55000000000000004">
      <c r="A99" s="9" t="s">
        <v>164</v>
      </c>
      <c r="B99" s="10">
        <v>60</v>
      </c>
      <c r="C99" s="10">
        <v>68</v>
      </c>
      <c r="D99" s="14" t="s">
        <v>17</v>
      </c>
      <c r="E99" s="10">
        <v>8</v>
      </c>
      <c r="F99" s="7" t="s">
        <v>15</v>
      </c>
      <c r="G99" s="7"/>
      <c r="H99" s="85"/>
    </row>
    <row r="100" spans="1:8" ht="14.7" thickBot="1" x14ac:dyDescent="0.6">
      <c r="A100" s="11" t="s">
        <v>165</v>
      </c>
      <c r="B100" s="12">
        <v>60</v>
      </c>
      <c r="C100" s="12">
        <v>65</v>
      </c>
      <c r="D100" s="16" t="s">
        <v>17</v>
      </c>
      <c r="E100" s="10">
        <v>8</v>
      </c>
      <c r="F100" s="15" t="s">
        <v>16</v>
      </c>
      <c r="G100" s="12">
        <v>659.5</v>
      </c>
      <c r="H100" s="61">
        <f>Tabla2691619[[#This Row],[Total cluster weight (g)]]/COUNTA(A96:A100)</f>
        <v>131.9</v>
      </c>
    </row>
    <row r="101" spans="1:8" x14ac:dyDescent="0.55000000000000004">
      <c r="A101" s="4" t="s">
        <v>185</v>
      </c>
      <c r="B101" s="5">
        <v>60</v>
      </c>
      <c r="C101" s="5">
        <v>69</v>
      </c>
      <c r="D101" s="14" t="s">
        <v>17</v>
      </c>
      <c r="E101" s="7">
        <v>9</v>
      </c>
      <c r="F101" s="13" t="s">
        <v>16</v>
      </c>
      <c r="G101" s="7"/>
      <c r="H101" s="53"/>
    </row>
    <row r="102" spans="1:8" x14ac:dyDescent="0.55000000000000004">
      <c r="A102" s="6" t="s">
        <v>186</v>
      </c>
      <c r="B102" s="7">
        <v>60</v>
      </c>
      <c r="C102" s="7">
        <v>71</v>
      </c>
      <c r="D102" s="14" t="s">
        <v>17</v>
      </c>
      <c r="E102" s="7">
        <v>9</v>
      </c>
      <c r="F102" s="7" t="s">
        <v>15</v>
      </c>
      <c r="G102" s="7"/>
      <c r="H102" s="53"/>
    </row>
    <row r="103" spans="1:8" x14ac:dyDescent="0.55000000000000004">
      <c r="A103" s="8" t="s">
        <v>187</v>
      </c>
      <c r="B103" s="7">
        <v>62</v>
      </c>
      <c r="C103" s="7">
        <v>68</v>
      </c>
      <c r="D103" s="14" t="s">
        <v>17</v>
      </c>
      <c r="E103" s="7">
        <v>9</v>
      </c>
      <c r="F103" s="7" t="s">
        <v>15</v>
      </c>
      <c r="G103" s="7"/>
      <c r="H103" s="53"/>
    </row>
    <row r="104" spans="1:8" x14ac:dyDescent="0.55000000000000004">
      <c r="A104" s="9" t="s">
        <v>188</v>
      </c>
      <c r="B104" s="10">
        <v>59</v>
      </c>
      <c r="C104" s="10">
        <v>64</v>
      </c>
      <c r="D104" s="14" t="s">
        <v>17</v>
      </c>
      <c r="E104" s="7">
        <v>9</v>
      </c>
      <c r="F104" s="7" t="s">
        <v>15</v>
      </c>
      <c r="G104" s="7"/>
      <c r="H104" s="53"/>
    </row>
    <row r="105" spans="1:8" ht="14.7" thickBot="1" x14ac:dyDescent="0.6">
      <c r="A105" s="11" t="s">
        <v>189</v>
      </c>
      <c r="B105" s="12">
        <v>55</v>
      </c>
      <c r="C105" s="12">
        <v>59</v>
      </c>
      <c r="D105" s="16" t="s">
        <v>17</v>
      </c>
      <c r="E105" s="7">
        <v>9</v>
      </c>
      <c r="F105" s="15" t="s">
        <v>15</v>
      </c>
      <c r="G105" s="12">
        <v>665.5</v>
      </c>
      <c r="H105" s="61">
        <f>Tabla2691619[[#This Row],[Total cluster weight (g)]]/COUNTA(A101:A105)</f>
        <v>133.1</v>
      </c>
    </row>
    <row r="106" spans="1:8" x14ac:dyDescent="0.55000000000000004">
      <c r="A106" s="4" t="s">
        <v>200</v>
      </c>
      <c r="B106" s="5">
        <v>58</v>
      </c>
      <c r="C106" s="5">
        <v>61</v>
      </c>
      <c r="D106" s="14" t="s">
        <v>17</v>
      </c>
      <c r="E106" s="7">
        <v>10</v>
      </c>
      <c r="F106" s="13" t="s">
        <v>23</v>
      </c>
      <c r="G106" s="7"/>
      <c r="H106" s="53"/>
    </row>
    <row r="107" spans="1:8" x14ac:dyDescent="0.55000000000000004">
      <c r="A107" s="6" t="s">
        <v>201</v>
      </c>
      <c r="B107" s="7">
        <v>60</v>
      </c>
      <c r="C107" s="7">
        <v>63</v>
      </c>
      <c r="D107" s="14" t="s">
        <v>17</v>
      </c>
      <c r="E107" s="7">
        <v>10</v>
      </c>
      <c r="F107" s="7" t="s">
        <v>15</v>
      </c>
      <c r="G107" s="7"/>
      <c r="H107" s="53"/>
    </row>
    <row r="108" spans="1:8" x14ac:dyDescent="0.55000000000000004">
      <c r="A108" s="8" t="s">
        <v>202</v>
      </c>
      <c r="B108" s="7">
        <v>68</v>
      </c>
      <c r="C108" s="7">
        <v>92</v>
      </c>
      <c r="D108" s="14" t="s">
        <v>17</v>
      </c>
      <c r="E108" s="7">
        <v>10</v>
      </c>
      <c r="F108" s="7" t="s">
        <v>16</v>
      </c>
      <c r="G108" s="7"/>
      <c r="H108" s="53"/>
    </row>
    <row r="109" spans="1:8" x14ac:dyDescent="0.55000000000000004">
      <c r="A109" s="9" t="s">
        <v>203</v>
      </c>
      <c r="B109" s="10">
        <v>61</v>
      </c>
      <c r="C109" s="10">
        <v>69</v>
      </c>
      <c r="D109" s="14" t="s">
        <v>17</v>
      </c>
      <c r="E109" s="7">
        <v>10</v>
      </c>
      <c r="F109" s="7" t="s">
        <v>16</v>
      </c>
      <c r="G109" s="7"/>
      <c r="H109" s="53"/>
    </row>
    <row r="110" spans="1:8" ht="14.7" thickBot="1" x14ac:dyDescent="0.6">
      <c r="A110" s="11" t="s">
        <v>204</v>
      </c>
      <c r="B110" s="12">
        <v>55</v>
      </c>
      <c r="C110" s="12">
        <v>64</v>
      </c>
      <c r="D110" s="16" t="s">
        <v>17</v>
      </c>
      <c r="E110" s="7">
        <v>10</v>
      </c>
      <c r="F110" s="15" t="s">
        <v>16</v>
      </c>
      <c r="G110" s="12">
        <v>804</v>
      </c>
      <c r="H110" s="61">
        <f>Tabla2691619[[#This Row],[Total cluster weight (g)]]/COUNTA(A106:A110)</f>
        <v>160.80000000000001</v>
      </c>
    </row>
    <row r="111" spans="1:8" x14ac:dyDescent="0.55000000000000004">
      <c r="A111" s="4" t="s">
        <v>205</v>
      </c>
      <c r="B111" s="5">
        <v>52</v>
      </c>
      <c r="C111" s="5">
        <v>57</v>
      </c>
      <c r="D111" s="14" t="s">
        <v>17</v>
      </c>
      <c r="E111" s="7">
        <v>11</v>
      </c>
      <c r="F111" s="13" t="s">
        <v>16</v>
      </c>
      <c r="G111" s="7"/>
      <c r="H111" s="53"/>
    </row>
    <row r="112" spans="1:8" x14ac:dyDescent="0.55000000000000004">
      <c r="A112" s="6" t="s">
        <v>206</v>
      </c>
      <c r="B112" s="7">
        <v>58</v>
      </c>
      <c r="C112" s="7">
        <v>62</v>
      </c>
      <c r="D112" s="14" t="s">
        <v>17</v>
      </c>
      <c r="E112" s="7">
        <v>11</v>
      </c>
      <c r="F112" s="7" t="s">
        <v>16</v>
      </c>
      <c r="G112" s="7"/>
      <c r="H112" s="53"/>
    </row>
    <row r="113" spans="1:8" x14ac:dyDescent="0.55000000000000004">
      <c r="A113" s="8" t="s">
        <v>207</v>
      </c>
      <c r="B113" s="7">
        <v>60</v>
      </c>
      <c r="C113" s="7">
        <v>68</v>
      </c>
      <c r="D113" s="14" t="s">
        <v>17</v>
      </c>
      <c r="E113" s="7">
        <v>11</v>
      </c>
      <c r="F113" s="7" t="s">
        <v>16</v>
      </c>
      <c r="G113" s="7"/>
      <c r="H113" s="53"/>
    </row>
    <row r="114" spans="1:8" x14ac:dyDescent="0.55000000000000004">
      <c r="A114" s="9" t="s">
        <v>208</v>
      </c>
      <c r="B114" s="10">
        <v>58</v>
      </c>
      <c r="C114" s="10">
        <v>65</v>
      </c>
      <c r="D114" s="14" t="s">
        <v>17</v>
      </c>
      <c r="E114" s="7">
        <v>11</v>
      </c>
      <c r="F114" s="7" t="s">
        <v>16</v>
      </c>
      <c r="G114" s="7"/>
      <c r="H114" s="53"/>
    </row>
    <row r="115" spans="1:8" ht="14.7" thickBot="1" x14ac:dyDescent="0.6">
      <c r="A115" s="11" t="s">
        <v>209</v>
      </c>
      <c r="B115" s="12">
        <v>58</v>
      </c>
      <c r="C115" s="12">
        <v>66</v>
      </c>
      <c r="D115" s="16" t="s">
        <v>17</v>
      </c>
      <c r="E115" s="7">
        <v>11</v>
      </c>
      <c r="F115" s="15" t="s">
        <v>16</v>
      </c>
      <c r="G115" s="12">
        <v>646.5</v>
      </c>
      <c r="H115" s="61">
        <f>Tabla2691619[[#This Row],[Total cluster weight (g)]]/COUNTA(A111:A115)</f>
        <v>129.30000000000001</v>
      </c>
    </row>
    <row r="116" spans="1:8" x14ac:dyDescent="0.55000000000000004">
      <c r="A116" s="4" t="s">
        <v>210</v>
      </c>
      <c r="B116" s="5">
        <v>57</v>
      </c>
      <c r="C116" s="5">
        <v>66</v>
      </c>
      <c r="D116" s="14" t="s">
        <v>17</v>
      </c>
      <c r="E116" s="7">
        <v>12</v>
      </c>
      <c r="F116" s="13" t="s">
        <v>15</v>
      </c>
      <c r="G116" s="7"/>
      <c r="H116" s="53"/>
    </row>
    <row r="117" spans="1:8" x14ac:dyDescent="0.55000000000000004">
      <c r="A117" s="6" t="s">
        <v>211</v>
      </c>
      <c r="B117" s="7">
        <v>57</v>
      </c>
      <c r="C117" s="7">
        <v>66</v>
      </c>
      <c r="D117" s="14" t="s">
        <v>17</v>
      </c>
      <c r="E117" s="7">
        <v>12</v>
      </c>
      <c r="F117" s="7" t="s">
        <v>15</v>
      </c>
      <c r="G117" s="7"/>
      <c r="H117" s="53"/>
    </row>
    <row r="118" spans="1:8" x14ac:dyDescent="0.55000000000000004">
      <c r="A118" s="8" t="s">
        <v>212</v>
      </c>
      <c r="B118" s="7">
        <v>59</v>
      </c>
      <c r="C118" s="7">
        <v>63</v>
      </c>
      <c r="D118" s="14" t="s">
        <v>17</v>
      </c>
      <c r="E118" s="7">
        <v>12</v>
      </c>
      <c r="F118" s="7" t="s">
        <v>16</v>
      </c>
      <c r="G118" s="7"/>
      <c r="H118" s="53"/>
    </row>
    <row r="119" spans="1:8" x14ac:dyDescent="0.55000000000000004">
      <c r="A119" s="9" t="s">
        <v>213</v>
      </c>
      <c r="B119" s="10">
        <v>60</v>
      </c>
      <c r="C119" s="10">
        <v>68</v>
      </c>
      <c r="D119" s="14" t="s">
        <v>17</v>
      </c>
      <c r="E119" s="7">
        <v>12</v>
      </c>
      <c r="F119" s="7" t="s">
        <v>16</v>
      </c>
      <c r="G119" s="7"/>
      <c r="H119" s="53"/>
    </row>
    <row r="120" spans="1:8" ht="14.7" thickBot="1" x14ac:dyDescent="0.6">
      <c r="A120" s="11" t="s">
        <v>214</v>
      </c>
      <c r="B120" s="12">
        <v>58</v>
      </c>
      <c r="C120" s="12">
        <v>61</v>
      </c>
      <c r="D120" s="16" t="s">
        <v>17</v>
      </c>
      <c r="E120" s="7">
        <v>12</v>
      </c>
      <c r="F120" s="15" t="s">
        <v>16</v>
      </c>
      <c r="G120" s="12">
        <v>665</v>
      </c>
      <c r="H120" s="61">
        <f>Tabla2691619[[#This Row],[Total cluster weight (g)]]/COUNTA(A116:A120)</f>
        <v>133</v>
      </c>
    </row>
    <row r="121" spans="1:8" x14ac:dyDescent="0.55000000000000004">
      <c r="A121" s="19"/>
      <c r="B121" s="20"/>
      <c r="C121" s="2"/>
      <c r="D121" s="21"/>
      <c r="E121" s="2"/>
      <c r="F121" s="2"/>
      <c r="G121" s="2"/>
    </row>
    <row r="122" spans="1:8" x14ac:dyDescent="0.55000000000000004">
      <c r="A122" s="39" t="s">
        <v>58</v>
      </c>
      <c r="B122" s="35" t="s">
        <v>44</v>
      </c>
      <c r="C122" s="35" t="s">
        <v>45</v>
      </c>
      <c r="D122" s="35" t="s">
        <v>46</v>
      </c>
      <c r="E122" s="35" t="s">
        <v>47</v>
      </c>
      <c r="F122" s="36" t="s">
        <v>56</v>
      </c>
      <c r="G122" s="60" t="s">
        <v>72</v>
      </c>
    </row>
    <row r="123" spans="1:8" x14ac:dyDescent="0.55000000000000004">
      <c r="A123" s="40" t="s">
        <v>48</v>
      </c>
      <c r="B123" s="37">
        <f>AVERAGE(Tabla2691619[Height (mm)])</f>
        <v>57.16949152542373</v>
      </c>
      <c r="C123" s="37">
        <f>AVERAGE(Tabla2691619[Width (mm)])</f>
        <v>66.101694915254242</v>
      </c>
      <c r="D123" s="37">
        <f>MAX(Tabla2691619[[Cluster number ]])</f>
        <v>12</v>
      </c>
      <c r="E123" s="37">
        <f>AVERAGE(Tabla2691619[Tomato average weight per cluster])</f>
        <v>135.17291666666665</v>
      </c>
      <c r="F123" s="38">
        <f>COUNTA(Tabla2691619["L16" PLANT])</f>
        <v>59</v>
      </c>
      <c r="G123" s="59">
        <f>SUM(Tabla2691619[Total cluster weight (g)])</f>
        <v>7966</v>
      </c>
    </row>
    <row r="125" spans="1:8" x14ac:dyDescent="0.55000000000000004">
      <c r="A125" s="3" t="s">
        <v>33</v>
      </c>
      <c r="B125" t="s">
        <v>2</v>
      </c>
      <c r="C125" t="s">
        <v>3</v>
      </c>
      <c r="D125" t="s">
        <v>4</v>
      </c>
      <c r="E125" t="s">
        <v>5</v>
      </c>
      <c r="F125" t="s">
        <v>6</v>
      </c>
      <c r="G125" t="s">
        <v>7</v>
      </c>
      <c r="H125" s="34" t="s">
        <v>43</v>
      </c>
    </row>
    <row r="126" spans="1:8" x14ac:dyDescent="0.55000000000000004">
      <c r="A126" s="19" t="s">
        <v>86</v>
      </c>
      <c r="B126" s="46">
        <v>56</v>
      </c>
      <c r="C126" s="46">
        <v>70</v>
      </c>
      <c r="D126" s="46" t="s">
        <v>17</v>
      </c>
      <c r="E126" s="46">
        <v>1</v>
      </c>
      <c r="F126" s="13" t="s">
        <v>15</v>
      </c>
      <c r="G126" s="46"/>
      <c r="H126" s="91"/>
    </row>
    <row r="127" spans="1:8" x14ac:dyDescent="0.55000000000000004">
      <c r="A127" s="19" t="s">
        <v>87</v>
      </c>
      <c r="B127" s="46">
        <v>57</v>
      </c>
      <c r="C127" s="46">
        <v>72</v>
      </c>
      <c r="D127" s="46" t="s">
        <v>17</v>
      </c>
      <c r="E127" s="46">
        <v>1</v>
      </c>
      <c r="F127" s="7" t="s">
        <v>15</v>
      </c>
      <c r="G127" s="46"/>
      <c r="H127" s="91"/>
    </row>
    <row r="128" spans="1:8" x14ac:dyDescent="0.55000000000000004">
      <c r="A128" s="19" t="s">
        <v>88</v>
      </c>
      <c r="B128" s="46">
        <v>60</v>
      </c>
      <c r="C128" s="46">
        <v>74</v>
      </c>
      <c r="D128" s="46" t="s">
        <v>17</v>
      </c>
      <c r="E128" s="46">
        <v>1</v>
      </c>
      <c r="F128" s="7" t="s">
        <v>15</v>
      </c>
      <c r="G128" s="46"/>
      <c r="H128" s="91"/>
    </row>
    <row r="129" spans="1:8" x14ac:dyDescent="0.55000000000000004">
      <c r="A129" s="19" t="s">
        <v>89</v>
      </c>
      <c r="B129" s="46">
        <v>57</v>
      </c>
      <c r="C129" s="46">
        <v>66</v>
      </c>
      <c r="D129" s="46" t="s">
        <v>17</v>
      </c>
      <c r="E129" s="46">
        <v>1</v>
      </c>
      <c r="F129" s="7" t="s">
        <v>15</v>
      </c>
      <c r="G129" s="46"/>
      <c r="H129" s="91"/>
    </row>
    <row r="130" spans="1:8" ht="14.7" thickBot="1" x14ac:dyDescent="0.6">
      <c r="A130" s="52" t="s">
        <v>99</v>
      </c>
      <c r="B130" s="47">
        <v>60</v>
      </c>
      <c r="C130" s="47">
        <v>76</v>
      </c>
      <c r="D130" s="47" t="s">
        <v>17</v>
      </c>
      <c r="E130" s="46">
        <v>1</v>
      </c>
      <c r="F130" s="15" t="s">
        <v>15</v>
      </c>
      <c r="G130" s="47">
        <v>816.5</v>
      </c>
      <c r="H130" s="86">
        <f>Tabla2691620[[#This Row],[Total cluster weight (g)]]/COUNTA(A126:A130)</f>
        <v>163.30000000000001</v>
      </c>
    </row>
    <row r="131" spans="1:8" x14ac:dyDescent="0.55000000000000004">
      <c r="A131" s="19" t="s">
        <v>91</v>
      </c>
      <c r="B131" s="46">
        <v>58</v>
      </c>
      <c r="C131" s="46">
        <v>66</v>
      </c>
      <c r="D131" s="46" t="s">
        <v>17</v>
      </c>
      <c r="E131" s="46">
        <v>2</v>
      </c>
      <c r="F131" s="13" t="s">
        <v>15</v>
      </c>
      <c r="G131" s="46"/>
      <c r="H131" s="91"/>
    </row>
    <row r="132" spans="1:8" x14ac:dyDescent="0.55000000000000004">
      <c r="A132" s="19" t="s">
        <v>92</v>
      </c>
      <c r="B132" s="46">
        <v>58</v>
      </c>
      <c r="C132" s="46">
        <v>66</v>
      </c>
      <c r="D132" s="46" t="s">
        <v>17</v>
      </c>
      <c r="E132" s="46">
        <v>2</v>
      </c>
      <c r="F132" s="7" t="s">
        <v>15</v>
      </c>
      <c r="G132" s="46"/>
      <c r="H132" s="91"/>
    </row>
    <row r="133" spans="1:8" x14ac:dyDescent="0.55000000000000004">
      <c r="A133" s="19" t="s">
        <v>94</v>
      </c>
      <c r="B133" s="46">
        <v>58</v>
      </c>
      <c r="C133" s="46">
        <v>66</v>
      </c>
      <c r="D133" s="46" t="s">
        <v>17</v>
      </c>
      <c r="E133" s="46">
        <v>2</v>
      </c>
      <c r="F133" s="7" t="s">
        <v>15</v>
      </c>
      <c r="G133" s="46"/>
      <c r="H133" s="91"/>
    </row>
    <row r="134" spans="1:8" x14ac:dyDescent="0.55000000000000004">
      <c r="A134" s="19" t="s">
        <v>95</v>
      </c>
      <c r="B134" s="46">
        <v>57</v>
      </c>
      <c r="C134" s="46">
        <v>74</v>
      </c>
      <c r="D134" s="46" t="s">
        <v>17</v>
      </c>
      <c r="E134" s="46">
        <v>2</v>
      </c>
      <c r="F134" s="7" t="s">
        <v>15</v>
      </c>
      <c r="G134" s="46"/>
      <c r="H134" s="91"/>
    </row>
    <row r="135" spans="1:8" ht="14.7" thickBot="1" x14ac:dyDescent="0.6">
      <c r="A135" s="52" t="s">
        <v>107</v>
      </c>
      <c r="B135" s="47">
        <v>55</v>
      </c>
      <c r="C135" s="47">
        <v>67</v>
      </c>
      <c r="D135" s="47" t="s">
        <v>17</v>
      </c>
      <c r="E135" s="46">
        <v>2</v>
      </c>
      <c r="F135" s="12" t="s">
        <v>15</v>
      </c>
      <c r="G135" s="47">
        <v>697.5</v>
      </c>
      <c r="H135" s="86">
        <f>Tabla2691620[[#This Row],[Total cluster weight (g)]]/COUNTA(A131:A135)</f>
        <v>139.5</v>
      </c>
    </row>
    <row r="136" spans="1:8" x14ac:dyDescent="0.55000000000000004">
      <c r="A136" s="19" t="s">
        <v>108</v>
      </c>
      <c r="B136" s="46">
        <v>55</v>
      </c>
      <c r="C136" s="46">
        <v>64</v>
      </c>
      <c r="D136" s="46" t="s">
        <v>17</v>
      </c>
      <c r="E136" s="46">
        <v>3</v>
      </c>
      <c r="F136" s="10" t="s">
        <v>15</v>
      </c>
      <c r="G136" s="46"/>
      <c r="H136" s="91"/>
    </row>
    <row r="137" spans="1:8" x14ac:dyDescent="0.55000000000000004">
      <c r="A137" s="19" t="s">
        <v>109</v>
      </c>
      <c r="B137" s="46">
        <v>56</v>
      </c>
      <c r="C137" s="46">
        <v>69</v>
      </c>
      <c r="D137" s="46" t="s">
        <v>17</v>
      </c>
      <c r="E137" s="46">
        <v>3</v>
      </c>
      <c r="F137" s="7" t="s">
        <v>15</v>
      </c>
      <c r="G137" s="46"/>
      <c r="H137" s="91"/>
    </row>
    <row r="138" spans="1:8" x14ac:dyDescent="0.55000000000000004">
      <c r="A138" s="19" t="s">
        <v>110</v>
      </c>
      <c r="B138" s="46">
        <v>53</v>
      </c>
      <c r="C138" s="46">
        <v>67</v>
      </c>
      <c r="D138" s="46" t="s">
        <v>17</v>
      </c>
      <c r="E138" s="46">
        <v>3</v>
      </c>
      <c r="F138" s="7" t="s">
        <v>15</v>
      </c>
      <c r="G138" s="46"/>
      <c r="H138" s="91"/>
    </row>
    <row r="139" spans="1:8" x14ac:dyDescent="0.55000000000000004">
      <c r="A139" s="19" t="s">
        <v>111</v>
      </c>
      <c r="B139" s="46">
        <v>58</v>
      </c>
      <c r="C139" s="46">
        <v>71</v>
      </c>
      <c r="D139" s="46" t="s">
        <v>17</v>
      </c>
      <c r="E139" s="46">
        <v>3</v>
      </c>
      <c r="F139" s="7" t="s">
        <v>15</v>
      </c>
      <c r="G139" s="46"/>
      <c r="H139" s="91"/>
    </row>
    <row r="140" spans="1:8" ht="14.7" thickBot="1" x14ac:dyDescent="0.6">
      <c r="A140" s="52" t="s">
        <v>119</v>
      </c>
      <c r="B140" s="47">
        <v>56</v>
      </c>
      <c r="C140" s="47">
        <v>72</v>
      </c>
      <c r="D140" s="47" t="s">
        <v>17</v>
      </c>
      <c r="E140" s="46">
        <v>3</v>
      </c>
      <c r="F140" s="15" t="s">
        <v>15</v>
      </c>
      <c r="G140" s="47">
        <v>732.5</v>
      </c>
      <c r="H140" s="86">
        <f>Tabla2691620[[#This Row],[Total cluster weight (g)]]/COUNTA(A136:A140)</f>
        <v>146.5</v>
      </c>
    </row>
    <row r="141" spans="1:8" x14ac:dyDescent="0.55000000000000004">
      <c r="A141" s="22" t="s">
        <v>120</v>
      </c>
      <c r="B141" s="10">
        <v>55</v>
      </c>
      <c r="C141" s="10">
        <v>71</v>
      </c>
      <c r="D141" s="10" t="s">
        <v>17</v>
      </c>
      <c r="E141" s="10">
        <v>4</v>
      </c>
      <c r="F141" s="10" t="s">
        <v>16</v>
      </c>
      <c r="G141" s="10"/>
      <c r="H141" s="54"/>
    </row>
    <row r="142" spans="1:8" x14ac:dyDescent="0.55000000000000004">
      <c r="A142" s="8" t="s">
        <v>121</v>
      </c>
      <c r="B142" s="7">
        <v>56</v>
      </c>
      <c r="C142" s="7">
        <v>69</v>
      </c>
      <c r="D142" s="7" t="s">
        <v>17</v>
      </c>
      <c r="E142" s="10">
        <v>4</v>
      </c>
      <c r="F142" s="7" t="s">
        <v>16</v>
      </c>
      <c r="G142" s="7"/>
      <c r="H142" s="50"/>
    </row>
    <row r="143" spans="1:8" x14ac:dyDescent="0.55000000000000004">
      <c r="A143" s="8" t="s">
        <v>122</v>
      </c>
      <c r="B143" s="7">
        <v>54</v>
      </c>
      <c r="C143" s="7">
        <v>68</v>
      </c>
      <c r="D143" s="7" t="s">
        <v>17</v>
      </c>
      <c r="E143" s="10">
        <v>4</v>
      </c>
      <c r="F143" s="7" t="s">
        <v>16</v>
      </c>
      <c r="G143" s="7"/>
      <c r="H143" s="50"/>
    </row>
    <row r="144" spans="1:8" x14ac:dyDescent="0.55000000000000004">
      <c r="A144" s="8" t="s">
        <v>123</v>
      </c>
      <c r="B144" s="7">
        <v>57</v>
      </c>
      <c r="C144" s="7">
        <v>71</v>
      </c>
      <c r="D144" s="7" t="s">
        <v>17</v>
      </c>
      <c r="E144" s="10">
        <v>4</v>
      </c>
      <c r="F144" s="7" t="s">
        <v>16</v>
      </c>
      <c r="G144" s="7"/>
      <c r="H144" s="50"/>
    </row>
    <row r="145" spans="1:8" ht="14.7" thickBot="1" x14ac:dyDescent="0.6">
      <c r="A145" s="23" t="s">
        <v>124</v>
      </c>
      <c r="B145" s="12">
        <v>57</v>
      </c>
      <c r="C145" s="12">
        <v>78</v>
      </c>
      <c r="D145" s="12" t="s">
        <v>17</v>
      </c>
      <c r="E145" s="10">
        <v>4</v>
      </c>
      <c r="F145" s="12" t="s">
        <v>16</v>
      </c>
      <c r="G145" s="12">
        <v>789</v>
      </c>
      <c r="H145" s="58">
        <f>Tabla2691620[[#This Row],[Total cluster weight (g)]]/COUNTA(A141:A145)</f>
        <v>157.80000000000001</v>
      </c>
    </row>
    <row r="146" spans="1:8" x14ac:dyDescent="0.55000000000000004">
      <c r="A146" s="19" t="s">
        <v>125</v>
      </c>
      <c r="B146" s="46">
        <v>52</v>
      </c>
      <c r="C146" s="46">
        <v>56</v>
      </c>
      <c r="D146" s="46" t="s">
        <v>17</v>
      </c>
      <c r="E146" s="46">
        <v>5</v>
      </c>
      <c r="F146" s="13" t="s">
        <v>20</v>
      </c>
      <c r="G146" s="46"/>
      <c r="H146" s="91"/>
    </row>
    <row r="147" spans="1:8" x14ac:dyDescent="0.55000000000000004">
      <c r="A147" s="19" t="s">
        <v>126</v>
      </c>
      <c r="B147" s="46">
        <v>51</v>
      </c>
      <c r="C147" s="46">
        <v>74</v>
      </c>
      <c r="D147" s="46" t="s">
        <v>17</v>
      </c>
      <c r="E147" s="46">
        <v>5</v>
      </c>
      <c r="F147" s="7" t="s">
        <v>16</v>
      </c>
      <c r="G147" s="46"/>
      <c r="H147" s="91"/>
    </row>
    <row r="148" spans="1:8" x14ac:dyDescent="0.55000000000000004">
      <c r="A148" s="19" t="s">
        <v>127</v>
      </c>
      <c r="B148" s="46">
        <v>55</v>
      </c>
      <c r="C148" s="46">
        <v>67</v>
      </c>
      <c r="D148" s="46" t="s">
        <v>17</v>
      </c>
      <c r="E148" s="46">
        <v>5</v>
      </c>
      <c r="F148" s="7" t="s">
        <v>16</v>
      </c>
      <c r="G148" s="46"/>
      <c r="H148" s="91"/>
    </row>
    <row r="149" spans="1:8" x14ac:dyDescent="0.55000000000000004">
      <c r="A149" s="19" t="s">
        <v>128</v>
      </c>
      <c r="B149" s="46">
        <v>56</v>
      </c>
      <c r="C149" s="46">
        <v>71</v>
      </c>
      <c r="D149" s="46" t="s">
        <v>17</v>
      </c>
      <c r="E149" s="46">
        <v>5</v>
      </c>
      <c r="F149" s="7" t="s">
        <v>16</v>
      </c>
      <c r="G149" s="46"/>
      <c r="H149" s="91"/>
    </row>
    <row r="150" spans="1:8" x14ac:dyDescent="0.55000000000000004">
      <c r="A150" s="19" t="s">
        <v>131</v>
      </c>
      <c r="B150" s="46">
        <v>55</v>
      </c>
      <c r="C150" s="46">
        <v>66</v>
      </c>
      <c r="D150" s="46" t="s">
        <v>17</v>
      </c>
      <c r="E150" s="46">
        <v>5</v>
      </c>
      <c r="F150" s="7" t="s">
        <v>16</v>
      </c>
      <c r="G150" s="46"/>
      <c r="H150" s="91"/>
    </row>
    <row r="151" spans="1:8" ht="14.7" thickBot="1" x14ac:dyDescent="0.6">
      <c r="A151" s="52" t="s">
        <v>132</v>
      </c>
      <c r="B151" s="47">
        <v>56</v>
      </c>
      <c r="C151" s="47">
        <v>79</v>
      </c>
      <c r="D151" s="47" t="s">
        <v>17</v>
      </c>
      <c r="E151" s="46">
        <v>5</v>
      </c>
      <c r="F151" s="15" t="s">
        <v>16</v>
      </c>
      <c r="G151" s="47">
        <v>805</v>
      </c>
      <c r="H151" s="86">
        <f>Tabla2691620[[#This Row],[Total cluster weight (g)]]/COUNTA(A146:A151)</f>
        <v>134.16666666666666</v>
      </c>
    </row>
    <row r="152" spans="1:8" x14ac:dyDescent="0.55000000000000004">
      <c r="A152" s="4" t="s">
        <v>133</v>
      </c>
      <c r="B152" s="5">
        <v>53</v>
      </c>
      <c r="C152" s="5">
        <v>66</v>
      </c>
      <c r="D152" s="14" t="s">
        <v>17</v>
      </c>
      <c r="E152" s="7">
        <v>6</v>
      </c>
      <c r="F152" s="13" t="s">
        <v>15</v>
      </c>
      <c r="G152" s="7"/>
      <c r="H152" s="91"/>
    </row>
    <row r="153" spans="1:8" x14ac:dyDescent="0.55000000000000004">
      <c r="A153" s="6" t="s">
        <v>134</v>
      </c>
      <c r="B153" s="7">
        <v>52</v>
      </c>
      <c r="C153" s="7">
        <v>60</v>
      </c>
      <c r="D153" s="14" t="s">
        <v>17</v>
      </c>
      <c r="E153" s="7">
        <v>6</v>
      </c>
      <c r="F153" s="7" t="s">
        <v>15</v>
      </c>
      <c r="G153" s="7"/>
      <c r="H153" s="91"/>
    </row>
    <row r="154" spans="1:8" x14ac:dyDescent="0.55000000000000004">
      <c r="A154" s="8" t="s">
        <v>135</v>
      </c>
      <c r="B154" s="7">
        <v>52</v>
      </c>
      <c r="C154" s="7">
        <v>67</v>
      </c>
      <c r="D154" s="14" t="s">
        <v>17</v>
      </c>
      <c r="E154" s="7">
        <v>6</v>
      </c>
      <c r="F154" s="7" t="s">
        <v>16</v>
      </c>
      <c r="G154" s="7"/>
      <c r="H154" s="91"/>
    </row>
    <row r="155" spans="1:8" ht="14.7" thickBot="1" x14ac:dyDescent="0.6">
      <c r="A155" s="11" t="s">
        <v>136</v>
      </c>
      <c r="B155" s="12">
        <v>55</v>
      </c>
      <c r="C155" s="12">
        <v>69</v>
      </c>
      <c r="D155" s="16" t="s">
        <v>17</v>
      </c>
      <c r="E155" s="7">
        <v>6</v>
      </c>
      <c r="F155" s="15" t="s">
        <v>16</v>
      </c>
      <c r="G155" s="12">
        <v>484.5</v>
      </c>
      <c r="H155" s="86">
        <f>Tabla2691620[[#This Row],[Total cluster weight (g)]]/COUNTA(A152:A155)</f>
        <v>121.125</v>
      </c>
    </row>
    <row r="156" spans="1:8" x14ac:dyDescent="0.55000000000000004">
      <c r="A156" s="4" t="s">
        <v>166</v>
      </c>
      <c r="B156" s="5">
        <v>61</v>
      </c>
      <c r="C156" s="5">
        <v>75</v>
      </c>
      <c r="D156" s="14" t="s">
        <v>17</v>
      </c>
      <c r="E156" s="7">
        <v>7</v>
      </c>
      <c r="F156" s="13" t="s">
        <v>15</v>
      </c>
      <c r="G156" s="7"/>
      <c r="H156" s="88"/>
    </row>
    <row r="157" spans="1:8" x14ac:dyDescent="0.55000000000000004">
      <c r="A157" s="6" t="s">
        <v>160</v>
      </c>
      <c r="B157" s="7">
        <v>60</v>
      </c>
      <c r="C157" s="7">
        <v>67</v>
      </c>
      <c r="D157" s="14" t="s">
        <v>17</v>
      </c>
      <c r="E157" s="7">
        <v>7</v>
      </c>
      <c r="F157" s="7" t="s">
        <v>15</v>
      </c>
      <c r="G157" s="7"/>
      <c r="H157" s="88"/>
    </row>
    <row r="158" spans="1:8" x14ac:dyDescent="0.55000000000000004">
      <c r="A158" s="8" t="s">
        <v>156</v>
      </c>
      <c r="B158" s="7">
        <v>62</v>
      </c>
      <c r="C158" s="7">
        <v>69</v>
      </c>
      <c r="D158" s="14" t="s">
        <v>17</v>
      </c>
      <c r="E158" s="7">
        <v>7</v>
      </c>
      <c r="F158" s="7" t="s">
        <v>15</v>
      </c>
      <c r="G158" s="7"/>
      <c r="H158" s="88"/>
    </row>
    <row r="159" spans="1:8" ht="14.7" thickBot="1" x14ac:dyDescent="0.6">
      <c r="A159" s="11" t="s">
        <v>140</v>
      </c>
      <c r="B159" s="12">
        <v>61</v>
      </c>
      <c r="C159" s="12">
        <v>75</v>
      </c>
      <c r="D159" s="16" t="s">
        <v>17</v>
      </c>
      <c r="E159" s="7">
        <v>7</v>
      </c>
      <c r="F159" s="15" t="s">
        <v>15</v>
      </c>
      <c r="G159" s="12">
        <v>660.5</v>
      </c>
      <c r="H159" s="86">
        <f>Tabla2691620[[#This Row],[Total cluster weight (g)]]/COUNTA(A156:A159)</f>
        <v>165.125</v>
      </c>
    </row>
    <row r="160" spans="1:8" x14ac:dyDescent="0.55000000000000004">
      <c r="A160" s="4" t="s">
        <v>142</v>
      </c>
      <c r="B160" s="5">
        <v>60</v>
      </c>
      <c r="C160" s="5">
        <v>71</v>
      </c>
      <c r="D160" s="14" t="s">
        <v>17</v>
      </c>
      <c r="E160" s="7">
        <v>8</v>
      </c>
      <c r="F160" s="13" t="s">
        <v>15</v>
      </c>
      <c r="G160" s="7"/>
      <c r="H160" s="88"/>
    </row>
    <row r="161" spans="1:8" x14ac:dyDescent="0.55000000000000004">
      <c r="A161" s="6" t="s">
        <v>143</v>
      </c>
      <c r="B161" s="7">
        <v>62</v>
      </c>
      <c r="C161" s="7">
        <v>72</v>
      </c>
      <c r="D161" s="14" t="s">
        <v>17</v>
      </c>
      <c r="E161" s="7">
        <v>8</v>
      </c>
      <c r="F161" s="7" t="s">
        <v>15</v>
      </c>
      <c r="G161" s="7"/>
      <c r="H161" s="88"/>
    </row>
    <row r="162" spans="1:8" x14ac:dyDescent="0.55000000000000004">
      <c r="A162" s="8" t="s">
        <v>144</v>
      </c>
      <c r="B162" s="7">
        <v>60</v>
      </c>
      <c r="C162" s="7">
        <v>70</v>
      </c>
      <c r="D162" s="14" t="s">
        <v>17</v>
      </c>
      <c r="E162" s="7">
        <v>8</v>
      </c>
      <c r="F162" s="7" t="s">
        <v>16</v>
      </c>
      <c r="G162" s="7"/>
      <c r="H162" s="88"/>
    </row>
    <row r="163" spans="1:8" x14ac:dyDescent="0.55000000000000004">
      <c r="A163" s="9" t="s">
        <v>145</v>
      </c>
      <c r="B163" s="10">
        <v>62</v>
      </c>
      <c r="C163" s="10">
        <v>74</v>
      </c>
      <c r="D163" s="14" t="s">
        <v>17</v>
      </c>
      <c r="E163" s="7">
        <v>8</v>
      </c>
      <c r="F163" s="7" t="s">
        <v>16</v>
      </c>
      <c r="G163" s="7"/>
      <c r="H163" s="88"/>
    </row>
    <row r="164" spans="1:8" ht="14.7" thickBot="1" x14ac:dyDescent="0.6">
      <c r="A164" s="11" t="s">
        <v>146</v>
      </c>
      <c r="B164" s="12">
        <v>57</v>
      </c>
      <c r="C164" s="12">
        <v>68</v>
      </c>
      <c r="D164" s="16" t="s">
        <v>17</v>
      </c>
      <c r="E164" s="7">
        <v>8</v>
      </c>
      <c r="F164" s="15" t="s">
        <v>16</v>
      </c>
      <c r="G164" s="12">
        <v>784</v>
      </c>
      <c r="H164" s="86">
        <f>Tabla2691620[[#This Row],[Total cluster weight (g)]]/COUNTA(A160:A164)</f>
        <v>156.80000000000001</v>
      </c>
    </row>
    <row r="165" spans="1:8" x14ac:dyDescent="0.55000000000000004">
      <c r="A165" s="4" t="s">
        <v>148</v>
      </c>
      <c r="B165" s="5">
        <v>57</v>
      </c>
      <c r="C165" s="5">
        <v>72</v>
      </c>
      <c r="D165" s="14" t="s">
        <v>17</v>
      </c>
      <c r="E165" s="7">
        <v>9</v>
      </c>
      <c r="F165" s="13" t="s">
        <v>16</v>
      </c>
      <c r="G165" s="7"/>
      <c r="H165" s="91"/>
    </row>
    <row r="166" spans="1:8" x14ac:dyDescent="0.55000000000000004">
      <c r="A166" s="6" t="s">
        <v>149</v>
      </c>
      <c r="B166" s="7">
        <v>57</v>
      </c>
      <c r="C166" s="7">
        <v>71</v>
      </c>
      <c r="D166" s="14" t="s">
        <v>17</v>
      </c>
      <c r="E166" s="7">
        <v>9</v>
      </c>
      <c r="F166" s="7" t="s">
        <v>16</v>
      </c>
      <c r="G166" s="7"/>
      <c r="H166" s="91"/>
    </row>
    <row r="167" spans="1:8" x14ac:dyDescent="0.55000000000000004">
      <c r="A167" s="8" t="s">
        <v>150</v>
      </c>
      <c r="B167" s="7">
        <v>61</v>
      </c>
      <c r="C167" s="7">
        <v>76</v>
      </c>
      <c r="D167" s="14" t="s">
        <v>17</v>
      </c>
      <c r="E167" s="7">
        <v>9</v>
      </c>
      <c r="F167" s="7" t="s">
        <v>16</v>
      </c>
      <c r="G167" s="7"/>
      <c r="H167" s="91"/>
    </row>
    <row r="168" spans="1:8" x14ac:dyDescent="0.55000000000000004">
      <c r="A168" s="9" t="s">
        <v>151</v>
      </c>
      <c r="B168" s="10">
        <v>60</v>
      </c>
      <c r="C168" s="10">
        <v>78</v>
      </c>
      <c r="D168" s="14" t="s">
        <v>17</v>
      </c>
      <c r="E168" s="7">
        <v>9</v>
      </c>
      <c r="F168" s="7" t="s">
        <v>16</v>
      </c>
      <c r="G168" s="7"/>
      <c r="H168" s="91"/>
    </row>
    <row r="169" spans="1:8" ht="14.7" thickBot="1" x14ac:dyDescent="0.6">
      <c r="A169" s="11" t="s">
        <v>152</v>
      </c>
      <c r="B169" s="12">
        <v>61</v>
      </c>
      <c r="C169" s="12">
        <v>80</v>
      </c>
      <c r="D169" s="16" t="s">
        <v>17</v>
      </c>
      <c r="E169" s="7">
        <v>9</v>
      </c>
      <c r="F169" s="15" t="s">
        <v>16</v>
      </c>
      <c r="G169" s="12">
        <v>875.5</v>
      </c>
      <c r="H169" s="86">
        <f>Tabla2691620[[#This Row],[Total cluster weight (g)]]/COUNTA(A165:A169)</f>
        <v>175.1</v>
      </c>
    </row>
    <row r="170" spans="1:8" x14ac:dyDescent="0.55000000000000004">
      <c r="A170" s="4" t="s">
        <v>153</v>
      </c>
      <c r="B170" s="5">
        <v>38</v>
      </c>
      <c r="C170" s="5">
        <v>43</v>
      </c>
      <c r="D170" s="14" t="s">
        <v>17</v>
      </c>
      <c r="E170" s="7">
        <v>10</v>
      </c>
      <c r="F170" s="13" t="s">
        <v>20</v>
      </c>
      <c r="G170" s="7"/>
      <c r="H170" s="88"/>
    </row>
    <row r="171" spans="1:8" x14ac:dyDescent="0.55000000000000004">
      <c r="A171" s="6" t="s">
        <v>154</v>
      </c>
      <c r="B171" s="7">
        <v>53</v>
      </c>
      <c r="C171" s="7">
        <v>59</v>
      </c>
      <c r="D171" s="14" t="s">
        <v>17</v>
      </c>
      <c r="E171" s="7">
        <v>10</v>
      </c>
      <c r="F171" s="7" t="s">
        <v>20</v>
      </c>
      <c r="G171" s="7"/>
      <c r="H171" s="88"/>
    </row>
    <row r="172" spans="1:8" x14ac:dyDescent="0.55000000000000004">
      <c r="A172" s="8" t="s">
        <v>164</v>
      </c>
      <c r="B172" s="7">
        <v>54</v>
      </c>
      <c r="C172" s="7">
        <v>61</v>
      </c>
      <c r="D172" s="14" t="s">
        <v>17</v>
      </c>
      <c r="E172" s="7">
        <v>10</v>
      </c>
      <c r="F172" s="7" t="s">
        <v>16</v>
      </c>
      <c r="G172" s="7"/>
      <c r="H172" s="88"/>
    </row>
    <row r="173" spans="1:8" x14ac:dyDescent="0.55000000000000004">
      <c r="A173" s="9" t="s">
        <v>165</v>
      </c>
      <c r="B173" s="10">
        <v>55</v>
      </c>
      <c r="C173" s="10">
        <v>62</v>
      </c>
      <c r="D173" s="14" t="s">
        <v>17</v>
      </c>
      <c r="E173" s="7">
        <v>10</v>
      </c>
      <c r="F173" s="7" t="s">
        <v>16</v>
      </c>
      <c r="G173" s="7"/>
      <c r="H173" s="88"/>
    </row>
    <row r="174" spans="1:8" x14ac:dyDescent="0.55000000000000004">
      <c r="A174" s="8" t="s">
        <v>185</v>
      </c>
      <c r="B174" s="7">
        <v>60</v>
      </c>
      <c r="C174" s="7">
        <v>67</v>
      </c>
      <c r="D174" s="14" t="s">
        <v>17</v>
      </c>
      <c r="E174" s="7">
        <v>10</v>
      </c>
      <c r="F174" s="7" t="s">
        <v>16</v>
      </c>
      <c r="G174" s="7"/>
      <c r="H174" s="88"/>
    </row>
    <row r="175" spans="1:8" ht="14.7" thickBot="1" x14ac:dyDescent="0.6">
      <c r="A175" s="11" t="s">
        <v>186</v>
      </c>
      <c r="B175" s="12">
        <v>59</v>
      </c>
      <c r="C175" s="12">
        <v>65</v>
      </c>
      <c r="D175" s="16" t="s">
        <v>17</v>
      </c>
      <c r="E175" s="7">
        <v>10</v>
      </c>
      <c r="F175" s="15" t="s">
        <v>16</v>
      </c>
      <c r="G175" s="12">
        <v>644</v>
      </c>
      <c r="H175" s="86">
        <f>Tabla2691620[[#This Row],[Total cluster weight (g)]]/COUNTA(A170:A175)</f>
        <v>107.33333333333333</v>
      </c>
    </row>
    <row r="176" spans="1:8" x14ac:dyDescent="0.55000000000000004">
      <c r="A176" s="84" t="s">
        <v>187</v>
      </c>
      <c r="B176" s="95">
        <v>54</v>
      </c>
      <c r="C176" s="95">
        <v>65</v>
      </c>
      <c r="D176" s="14" t="s">
        <v>17</v>
      </c>
      <c r="E176" s="89">
        <v>11</v>
      </c>
      <c r="F176" s="97" t="s">
        <v>16</v>
      </c>
      <c r="G176" s="89"/>
      <c r="H176" s="88"/>
    </row>
    <row r="177" spans="1:9" x14ac:dyDescent="0.55000000000000004">
      <c r="A177" s="82" t="s">
        <v>188</v>
      </c>
      <c r="B177" s="89">
        <v>55</v>
      </c>
      <c r="C177" s="89">
        <v>63</v>
      </c>
      <c r="D177" s="14" t="s">
        <v>17</v>
      </c>
      <c r="E177" s="89">
        <v>11</v>
      </c>
      <c r="F177" s="89" t="s">
        <v>16</v>
      </c>
      <c r="G177" s="89"/>
      <c r="H177" s="88"/>
    </row>
    <row r="178" spans="1:9" x14ac:dyDescent="0.55000000000000004">
      <c r="A178" s="76" t="s">
        <v>189</v>
      </c>
      <c r="B178" s="89">
        <v>57</v>
      </c>
      <c r="C178" s="89">
        <v>59</v>
      </c>
      <c r="D178" s="14" t="s">
        <v>17</v>
      </c>
      <c r="E178" s="89">
        <v>11</v>
      </c>
      <c r="F178" s="89" t="s">
        <v>16</v>
      </c>
      <c r="G178" s="89"/>
      <c r="H178" s="88"/>
    </row>
    <row r="179" spans="1:9" x14ac:dyDescent="0.55000000000000004">
      <c r="A179" s="96" t="s">
        <v>200</v>
      </c>
      <c r="B179" s="70">
        <v>60</v>
      </c>
      <c r="C179" s="70">
        <v>67</v>
      </c>
      <c r="D179" s="14" t="s">
        <v>17</v>
      </c>
      <c r="E179" s="89">
        <v>11</v>
      </c>
      <c r="F179" s="89" t="s">
        <v>16</v>
      </c>
      <c r="G179" s="89"/>
      <c r="H179" s="88"/>
    </row>
    <row r="180" spans="1:9" x14ac:dyDescent="0.55000000000000004">
      <c r="A180" s="76" t="s">
        <v>201</v>
      </c>
      <c r="B180" s="89">
        <v>60</v>
      </c>
      <c r="C180" s="89">
        <v>69</v>
      </c>
      <c r="D180" s="14" t="s">
        <v>17</v>
      </c>
      <c r="E180" s="89">
        <v>11</v>
      </c>
      <c r="F180" s="89" t="s">
        <v>16</v>
      </c>
      <c r="G180" s="89"/>
      <c r="H180" s="88"/>
      <c r="I180" s="108"/>
    </row>
    <row r="181" spans="1:9" ht="14.7" thickBot="1" x14ac:dyDescent="0.6">
      <c r="A181" s="83" t="s">
        <v>202</v>
      </c>
      <c r="B181" s="80">
        <v>65</v>
      </c>
      <c r="C181" s="80">
        <v>84</v>
      </c>
      <c r="D181" s="16" t="s">
        <v>17</v>
      </c>
      <c r="E181" s="89">
        <v>11</v>
      </c>
      <c r="F181" s="94" t="s">
        <v>16</v>
      </c>
      <c r="G181" s="94">
        <v>904</v>
      </c>
      <c r="H181" s="86">
        <f>Tabla2691620[[#This Row],[Total cluster weight (g)]]/COUNTA(A176:A181)</f>
        <v>150.66666666666666</v>
      </c>
    </row>
    <row r="182" spans="1:9" x14ac:dyDescent="0.55000000000000004">
      <c r="A182" s="4" t="s">
        <v>203</v>
      </c>
      <c r="B182" s="5">
        <v>60</v>
      </c>
      <c r="C182" s="5">
        <v>73</v>
      </c>
      <c r="D182" s="14" t="s">
        <v>17</v>
      </c>
      <c r="E182" s="7">
        <v>12</v>
      </c>
      <c r="F182" s="13" t="s">
        <v>15</v>
      </c>
      <c r="G182" s="7"/>
      <c r="H182" s="91"/>
    </row>
    <row r="183" spans="1:9" x14ac:dyDescent="0.55000000000000004">
      <c r="A183" s="6" t="s">
        <v>204</v>
      </c>
      <c r="B183" s="7">
        <v>56</v>
      </c>
      <c r="C183" s="7">
        <v>72</v>
      </c>
      <c r="D183" s="14" t="s">
        <v>17</v>
      </c>
      <c r="E183" s="7">
        <v>12</v>
      </c>
      <c r="F183" s="7" t="s">
        <v>15</v>
      </c>
      <c r="G183" s="7"/>
      <c r="H183" s="91"/>
    </row>
    <row r="184" spans="1:9" x14ac:dyDescent="0.55000000000000004">
      <c r="A184" s="8" t="s">
        <v>205</v>
      </c>
      <c r="B184" s="7">
        <v>56</v>
      </c>
      <c r="C184" s="7">
        <v>59</v>
      </c>
      <c r="D184" s="14" t="s">
        <v>17</v>
      </c>
      <c r="E184" s="7">
        <v>12</v>
      </c>
      <c r="F184" s="7" t="s">
        <v>16</v>
      </c>
      <c r="G184" s="7"/>
      <c r="H184" s="91"/>
    </row>
    <row r="185" spans="1:9" x14ac:dyDescent="0.55000000000000004">
      <c r="A185" s="26" t="s">
        <v>206</v>
      </c>
      <c r="B185" s="27">
        <v>54</v>
      </c>
      <c r="C185" s="27">
        <v>59</v>
      </c>
      <c r="D185" s="49" t="s">
        <v>17</v>
      </c>
      <c r="E185" s="7">
        <v>12</v>
      </c>
      <c r="F185" s="13" t="s">
        <v>16</v>
      </c>
      <c r="G185" s="13"/>
      <c r="H185" s="91"/>
    </row>
    <row r="186" spans="1:9" ht="14.7" thickBot="1" x14ac:dyDescent="0.6">
      <c r="A186" s="23" t="s">
        <v>207</v>
      </c>
      <c r="B186" s="12">
        <v>59</v>
      </c>
      <c r="C186" s="12">
        <v>72</v>
      </c>
      <c r="D186" s="16" t="s">
        <v>17</v>
      </c>
      <c r="E186" s="7">
        <v>12</v>
      </c>
      <c r="F186" s="12" t="s">
        <v>16</v>
      </c>
      <c r="G186" s="12">
        <v>735</v>
      </c>
      <c r="H186" s="58">
        <f>Tabla2691620[[#This Row],[Total cluster weight (g)]]/COUNTA(A182:A186)</f>
        <v>147</v>
      </c>
    </row>
    <row r="187" spans="1:9" x14ac:dyDescent="0.55000000000000004">
      <c r="A187" s="19"/>
      <c r="B187" s="20"/>
      <c r="C187" s="20"/>
      <c r="D187" s="20"/>
      <c r="E187" s="20"/>
      <c r="F187" s="20"/>
      <c r="G187" s="20"/>
      <c r="H187" s="53"/>
    </row>
    <row r="188" spans="1:9" x14ac:dyDescent="0.55000000000000004">
      <c r="A188" s="39" t="s">
        <v>59</v>
      </c>
      <c r="B188" s="35" t="s">
        <v>44</v>
      </c>
      <c r="C188" s="35" t="s">
        <v>45</v>
      </c>
      <c r="D188" s="35" t="s">
        <v>46</v>
      </c>
      <c r="E188" s="35" t="s">
        <v>47</v>
      </c>
      <c r="F188" s="36" t="s">
        <v>56</v>
      </c>
      <c r="G188" s="60" t="s">
        <v>72</v>
      </c>
    </row>
    <row r="189" spans="1:9" x14ac:dyDescent="0.55000000000000004">
      <c r="A189" s="40" t="s">
        <v>48</v>
      </c>
      <c r="B189" s="37">
        <f>AVERAGE(Tabla2691620[Height (mm)])</f>
        <v>56.819672131147541</v>
      </c>
      <c r="C189" s="37">
        <f>AVERAGE(Tabla2691620[Width (mm)])</f>
        <v>68.672131147540981</v>
      </c>
      <c r="D189" s="37">
        <f>MAX(Tabla2691620[[Cluster number ]])</f>
        <v>12</v>
      </c>
      <c r="E189" s="37">
        <f>AVERAGE(Tabla2691620[Tomato average weight per cluster])</f>
        <v>147.0347222222222</v>
      </c>
      <c r="F189" s="38">
        <f>COUNTA(Tabla2691620["L17" PLANT])</f>
        <v>61</v>
      </c>
      <c r="G189" s="59">
        <f>SUM(Tabla2691620[Total cluster weight (g)])</f>
        <v>8928</v>
      </c>
    </row>
    <row r="191" spans="1:9" x14ac:dyDescent="0.55000000000000004">
      <c r="A191" s="3" t="s">
        <v>34</v>
      </c>
      <c r="B191" t="s">
        <v>2</v>
      </c>
      <c r="C191" t="s">
        <v>3</v>
      </c>
      <c r="D191" t="s">
        <v>4</v>
      </c>
      <c r="E191" t="s">
        <v>5</v>
      </c>
      <c r="F191" t="s">
        <v>6</v>
      </c>
      <c r="G191" t="s">
        <v>7</v>
      </c>
      <c r="H191" s="34" t="s">
        <v>43</v>
      </c>
    </row>
    <row r="192" spans="1:9" x14ac:dyDescent="0.55000000000000004">
      <c r="A192" s="22" t="s">
        <v>107</v>
      </c>
      <c r="B192" s="10">
        <v>53</v>
      </c>
      <c r="C192" s="10">
        <v>67</v>
      </c>
      <c r="D192" s="10" t="s">
        <v>17</v>
      </c>
      <c r="E192" s="10">
        <v>1</v>
      </c>
      <c r="F192" s="10" t="s">
        <v>23</v>
      </c>
      <c r="G192" s="10"/>
      <c r="H192" s="54"/>
    </row>
    <row r="193" spans="1:8" x14ac:dyDescent="0.55000000000000004">
      <c r="A193" s="8" t="s">
        <v>108</v>
      </c>
      <c r="B193" s="7">
        <v>57</v>
      </c>
      <c r="C193" s="7">
        <v>71</v>
      </c>
      <c r="D193" s="7" t="s">
        <v>17</v>
      </c>
      <c r="E193" s="10">
        <v>1</v>
      </c>
      <c r="F193" s="7" t="s">
        <v>15</v>
      </c>
      <c r="G193" s="7"/>
      <c r="H193" s="50"/>
    </row>
    <row r="194" spans="1:8" x14ac:dyDescent="0.55000000000000004">
      <c r="A194" s="8" t="s">
        <v>109</v>
      </c>
      <c r="B194" s="7">
        <v>56</v>
      </c>
      <c r="C194" s="7">
        <v>66</v>
      </c>
      <c r="D194" s="7" t="s">
        <v>17</v>
      </c>
      <c r="E194" s="10">
        <v>1</v>
      </c>
      <c r="F194" s="7" t="s">
        <v>15</v>
      </c>
      <c r="G194" s="7"/>
      <c r="H194" s="50"/>
    </row>
    <row r="195" spans="1:8" x14ac:dyDescent="0.55000000000000004">
      <c r="A195" s="8" t="s">
        <v>110</v>
      </c>
      <c r="B195" s="7">
        <v>59</v>
      </c>
      <c r="C195" s="7">
        <v>68</v>
      </c>
      <c r="D195" s="7" t="s">
        <v>17</v>
      </c>
      <c r="E195" s="10">
        <v>1</v>
      </c>
      <c r="F195" s="7" t="s">
        <v>16</v>
      </c>
      <c r="G195" s="7"/>
      <c r="H195" s="50"/>
    </row>
    <row r="196" spans="1:8" ht="14.7" thickBot="1" x14ac:dyDescent="0.6">
      <c r="A196" s="23" t="s">
        <v>111</v>
      </c>
      <c r="B196" s="12">
        <v>56</v>
      </c>
      <c r="C196" s="12">
        <v>71</v>
      </c>
      <c r="D196" s="12" t="s">
        <v>17</v>
      </c>
      <c r="E196" s="10">
        <v>1</v>
      </c>
      <c r="F196" s="12" t="s">
        <v>16</v>
      </c>
      <c r="G196" s="12">
        <v>725</v>
      </c>
      <c r="H196" s="58">
        <f>Tabla2691623[[#This Row],[Total cluster weight (g)]]/COUNTA(A192:A196)</f>
        <v>145</v>
      </c>
    </row>
    <row r="197" spans="1:8" x14ac:dyDescent="0.55000000000000004">
      <c r="A197" s="22" t="s">
        <v>119</v>
      </c>
      <c r="B197" s="10">
        <v>56</v>
      </c>
      <c r="C197" s="10">
        <v>67</v>
      </c>
      <c r="D197" s="10" t="s">
        <v>17</v>
      </c>
      <c r="E197" s="10">
        <v>2</v>
      </c>
      <c r="F197" s="10" t="s">
        <v>16</v>
      </c>
      <c r="G197" s="10"/>
      <c r="H197" s="54"/>
    </row>
    <row r="198" spans="1:8" x14ac:dyDescent="0.55000000000000004">
      <c r="A198" s="8" t="s">
        <v>120</v>
      </c>
      <c r="B198" s="7">
        <v>55</v>
      </c>
      <c r="C198" s="7">
        <v>66</v>
      </c>
      <c r="D198" s="7" t="s">
        <v>17</v>
      </c>
      <c r="E198" s="10">
        <v>2</v>
      </c>
      <c r="F198" s="7" t="s">
        <v>16</v>
      </c>
      <c r="G198" s="7"/>
      <c r="H198" s="50"/>
    </row>
    <row r="199" spans="1:8" x14ac:dyDescent="0.55000000000000004">
      <c r="A199" s="8" t="s">
        <v>121</v>
      </c>
      <c r="B199" s="7">
        <v>59</v>
      </c>
      <c r="C199" s="7">
        <v>74</v>
      </c>
      <c r="D199" s="7" t="s">
        <v>17</v>
      </c>
      <c r="E199" s="10">
        <v>2</v>
      </c>
      <c r="F199" s="7" t="s">
        <v>16</v>
      </c>
      <c r="G199" s="7"/>
      <c r="H199" s="50"/>
    </row>
    <row r="200" spans="1:8" x14ac:dyDescent="0.55000000000000004">
      <c r="A200" s="8" t="s">
        <v>122</v>
      </c>
      <c r="B200" s="7">
        <v>58</v>
      </c>
      <c r="C200" s="7">
        <v>68</v>
      </c>
      <c r="D200" s="7" t="s">
        <v>17</v>
      </c>
      <c r="E200" s="10">
        <v>2</v>
      </c>
      <c r="F200" s="7" t="s">
        <v>16</v>
      </c>
      <c r="G200" s="7"/>
      <c r="H200" s="50"/>
    </row>
    <row r="201" spans="1:8" ht="14.7" thickBot="1" x14ac:dyDescent="0.6">
      <c r="A201" s="23" t="s">
        <v>123</v>
      </c>
      <c r="B201" s="12">
        <v>58</v>
      </c>
      <c r="C201" s="12">
        <v>71</v>
      </c>
      <c r="D201" s="12" t="s">
        <v>17</v>
      </c>
      <c r="E201" s="10">
        <v>2</v>
      </c>
      <c r="F201" s="12" t="s">
        <v>16</v>
      </c>
      <c r="G201" s="12">
        <v>739</v>
      </c>
      <c r="H201" s="58">
        <f>Tabla2691623[[#This Row],[Total cluster weight (g)]]/COUNTA(A197:A201)</f>
        <v>147.80000000000001</v>
      </c>
    </row>
    <row r="202" spans="1:8" x14ac:dyDescent="0.55000000000000004">
      <c r="A202" s="22" t="s">
        <v>124</v>
      </c>
      <c r="B202" s="10">
        <v>58</v>
      </c>
      <c r="C202" s="10">
        <v>67</v>
      </c>
      <c r="D202" s="10" t="s">
        <v>17</v>
      </c>
      <c r="E202" s="10">
        <v>3</v>
      </c>
      <c r="F202" s="10" t="s">
        <v>15</v>
      </c>
      <c r="G202" s="10"/>
      <c r="H202" s="54"/>
    </row>
    <row r="203" spans="1:8" x14ac:dyDescent="0.55000000000000004">
      <c r="A203" s="8" t="s">
        <v>125</v>
      </c>
      <c r="B203" s="7">
        <v>56</v>
      </c>
      <c r="C203" s="7">
        <v>65</v>
      </c>
      <c r="D203" s="7" t="s">
        <v>17</v>
      </c>
      <c r="E203" s="10">
        <v>3</v>
      </c>
      <c r="F203" s="7" t="s">
        <v>16</v>
      </c>
      <c r="G203" s="7"/>
      <c r="H203" s="50"/>
    </row>
    <row r="204" spans="1:8" x14ac:dyDescent="0.55000000000000004">
      <c r="A204" s="8" t="s">
        <v>126</v>
      </c>
      <c r="B204" s="7">
        <v>55</v>
      </c>
      <c r="C204" s="7">
        <v>64</v>
      </c>
      <c r="D204" s="7" t="s">
        <v>17</v>
      </c>
      <c r="E204" s="10">
        <v>3</v>
      </c>
      <c r="F204" s="7" t="s">
        <v>16</v>
      </c>
      <c r="G204" s="7"/>
      <c r="H204" s="50"/>
    </row>
    <row r="205" spans="1:8" x14ac:dyDescent="0.55000000000000004">
      <c r="A205" s="8" t="s">
        <v>127</v>
      </c>
      <c r="B205" s="7">
        <v>55</v>
      </c>
      <c r="C205" s="7">
        <v>61</v>
      </c>
      <c r="D205" s="7" t="s">
        <v>17</v>
      </c>
      <c r="E205" s="10">
        <v>3</v>
      </c>
      <c r="F205" s="7" t="s">
        <v>16</v>
      </c>
      <c r="G205" s="7"/>
      <c r="H205" s="50"/>
    </row>
    <row r="206" spans="1:8" ht="14.7" thickBot="1" x14ac:dyDescent="0.6">
      <c r="A206" s="23" t="s">
        <v>128</v>
      </c>
      <c r="B206" s="12">
        <v>58</v>
      </c>
      <c r="C206" s="12">
        <v>65</v>
      </c>
      <c r="D206" s="12" t="s">
        <v>17</v>
      </c>
      <c r="E206" s="10">
        <v>3</v>
      </c>
      <c r="F206" s="12" t="s">
        <v>16</v>
      </c>
      <c r="G206" s="12">
        <v>650</v>
      </c>
      <c r="H206" s="58">
        <f>Tabla2691623[[#This Row],[Total cluster weight (g)]]/COUNTA(A202:A206)</f>
        <v>130</v>
      </c>
    </row>
    <row r="207" spans="1:8" x14ac:dyDescent="0.55000000000000004">
      <c r="A207" s="22" t="s">
        <v>131</v>
      </c>
      <c r="B207" s="10">
        <v>64</v>
      </c>
      <c r="C207" s="10">
        <v>67</v>
      </c>
      <c r="D207" s="10" t="s">
        <v>17</v>
      </c>
      <c r="E207" s="10">
        <v>4</v>
      </c>
      <c r="F207" s="10" t="s">
        <v>16</v>
      </c>
      <c r="G207" s="10"/>
      <c r="H207" s="54"/>
    </row>
    <row r="208" spans="1:8" x14ac:dyDescent="0.55000000000000004">
      <c r="A208" s="8" t="s">
        <v>132</v>
      </c>
      <c r="B208" s="7">
        <v>62</v>
      </c>
      <c r="C208" s="7">
        <v>65</v>
      </c>
      <c r="D208" s="7" t="s">
        <v>17</v>
      </c>
      <c r="E208" s="10">
        <v>4</v>
      </c>
      <c r="F208" s="7" t="s">
        <v>16</v>
      </c>
      <c r="G208" s="7"/>
      <c r="H208" s="50"/>
    </row>
    <row r="209" spans="1:8" x14ac:dyDescent="0.55000000000000004">
      <c r="A209" s="8" t="s">
        <v>133</v>
      </c>
      <c r="B209" s="7">
        <v>57</v>
      </c>
      <c r="C209" s="7">
        <v>70</v>
      </c>
      <c r="D209" s="7" t="s">
        <v>17</v>
      </c>
      <c r="E209" s="10">
        <v>4</v>
      </c>
      <c r="F209" s="7" t="s">
        <v>16</v>
      </c>
      <c r="G209" s="7"/>
      <c r="H209" s="50"/>
    </row>
    <row r="210" spans="1:8" x14ac:dyDescent="0.55000000000000004">
      <c r="A210" s="8" t="s">
        <v>134</v>
      </c>
      <c r="B210" s="7">
        <v>61</v>
      </c>
      <c r="C210" s="7">
        <v>72</v>
      </c>
      <c r="D210" s="7" t="s">
        <v>17</v>
      </c>
      <c r="E210" s="10">
        <v>4</v>
      </c>
      <c r="F210" s="7" t="s">
        <v>16</v>
      </c>
      <c r="G210" s="7"/>
      <c r="H210" s="50"/>
    </row>
    <row r="211" spans="1:8" ht="14.7" thickBot="1" x14ac:dyDescent="0.6">
      <c r="A211" s="23" t="s">
        <v>135</v>
      </c>
      <c r="B211" s="12">
        <v>63</v>
      </c>
      <c r="C211" s="12">
        <v>78</v>
      </c>
      <c r="D211" s="12" t="s">
        <v>17</v>
      </c>
      <c r="E211" s="10">
        <v>4</v>
      </c>
      <c r="F211" s="12" t="s">
        <v>16</v>
      </c>
      <c r="G211" s="12">
        <v>826.5</v>
      </c>
      <c r="H211" s="58">
        <f>Tabla2691623[[#This Row],[Total cluster weight (g)]]/COUNTA(A207:A211)</f>
        <v>165.3</v>
      </c>
    </row>
    <row r="212" spans="1:8" x14ac:dyDescent="0.55000000000000004">
      <c r="A212" s="22" t="s">
        <v>136</v>
      </c>
      <c r="B212" s="10">
        <v>59</v>
      </c>
      <c r="C212" s="10">
        <v>73</v>
      </c>
      <c r="D212" s="10" t="s">
        <v>17</v>
      </c>
      <c r="E212" s="10">
        <v>5</v>
      </c>
      <c r="F212" s="10" t="s">
        <v>15</v>
      </c>
      <c r="G212" s="10"/>
      <c r="H212" s="54"/>
    </row>
    <row r="213" spans="1:8" x14ac:dyDescent="0.55000000000000004">
      <c r="A213" s="8" t="s">
        <v>137</v>
      </c>
      <c r="B213" s="7">
        <v>62</v>
      </c>
      <c r="C213" s="7">
        <v>72</v>
      </c>
      <c r="D213" s="7" t="s">
        <v>17</v>
      </c>
      <c r="E213" s="10">
        <v>5</v>
      </c>
      <c r="F213" s="7" t="s">
        <v>15</v>
      </c>
      <c r="G213" s="7"/>
      <c r="H213" s="50"/>
    </row>
    <row r="214" spans="1:8" x14ac:dyDescent="0.55000000000000004">
      <c r="A214" s="8" t="s">
        <v>138</v>
      </c>
      <c r="B214" s="7">
        <v>65</v>
      </c>
      <c r="C214" s="7">
        <v>74</v>
      </c>
      <c r="D214" s="7" t="s">
        <v>17</v>
      </c>
      <c r="E214" s="10">
        <v>5</v>
      </c>
      <c r="F214" s="7" t="s">
        <v>15</v>
      </c>
      <c r="G214" s="7"/>
      <c r="H214" s="50"/>
    </row>
    <row r="215" spans="1:8" x14ac:dyDescent="0.55000000000000004">
      <c r="A215" s="8" t="s">
        <v>139</v>
      </c>
      <c r="B215" s="7">
        <v>62</v>
      </c>
      <c r="C215" s="7">
        <v>74</v>
      </c>
      <c r="D215" s="7" t="s">
        <v>17</v>
      </c>
      <c r="E215" s="10">
        <v>5</v>
      </c>
      <c r="F215" s="7" t="s">
        <v>15</v>
      </c>
      <c r="G215" s="7"/>
      <c r="H215" s="50"/>
    </row>
    <row r="216" spans="1:8" ht="14.7" thickBot="1" x14ac:dyDescent="0.6">
      <c r="A216" s="23" t="s">
        <v>140</v>
      </c>
      <c r="B216" s="12">
        <v>63</v>
      </c>
      <c r="C216" s="12">
        <v>80</v>
      </c>
      <c r="D216" s="12" t="s">
        <v>17</v>
      </c>
      <c r="E216" s="10">
        <v>5</v>
      </c>
      <c r="F216" s="12" t="s">
        <v>15</v>
      </c>
      <c r="G216" s="12">
        <v>921</v>
      </c>
      <c r="H216" s="58">
        <f>Tabla2691623[[#This Row],[Total cluster weight (g)]]/COUNTA(A212:A216)</f>
        <v>184.2</v>
      </c>
    </row>
    <row r="217" spans="1:8" x14ac:dyDescent="0.55000000000000004">
      <c r="A217" s="22" t="s">
        <v>142</v>
      </c>
      <c r="B217" s="10">
        <v>63</v>
      </c>
      <c r="C217" s="10">
        <v>71</v>
      </c>
      <c r="D217" s="10" t="s">
        <v>17</v>
      </c>
      <c r="E217" s="10">
        <v>6</v>
      </c>
      <c r="F217" s="10" t="s">
        <v>15</v>
      </c>
      <c r="G217" s="10"/>
      <c r="H217" s="54"/>
    </row>
    <row r="218" spans="1:8" x14ac:dyDescent="0.55000000000000004">
      <c r="A218" s="8" t="s">
        <v>143</v>
      </c>
      <c r="B218" s="7">
        <v>64</v>
      </c>
      <c r="C218" s="7">
        <v>74</v>
      </c>
      <c r="D218" s="7" t="s">
        <v>17</v>
      </c>
      <c r="E218" s="10">
        <v>6</v>
      </c>
      <c r="F218" s="7" t="s">
        <v>16</v>
      </c>
      <c r="G218" s="7"/>
      <c r="H218" s="50"/>
    </row>
    <row r="219" spans="1:8" x14ac:dyDescent="0.55000000000000004">
      <c r="A219" s="8" t="s">
        <v>144</v>
      </c>
      <c r="B219" s="7">
        <v>62</v>
      </c>
      <c r="C219" s="7">
        <v>73</v>
      </c>
      <c r="D219" s="7" t="s">
        <v>17</v>
      </c>
      <c r="E219" s="10">
        <v>6</v>
      </c>
      <c r="F219" s="7" t="s">
        <v>16</v>
      </c>
      <c r="G219" s="7"/>
      <c r="H219" s="50"/>
    </row>
    <row r="220" spans="1:8" ht="14.7" thickBot="1" x14ac:dyDescent="0.6">
      <c r="A220" s="23" t="s">
        <v>145</v>
      </c>
      <c r="B220" s="12">
        <v>63</v>
      </c>
      <c r="C220" s="12">
        <v>79</v>
      </c>
      <c r="D220" s="12" t="s">
        <v>17</v>
      </c>
      <c r="E220" s="10">
        <v>6</v>
      </c>
      <c r="F220" s="12" t="s">
        <v>16</v>
      </c>
      <c r="G220" s="12">
        <v>750.5</v>
      </c>
      <c r="H220" s="58">
        <f>Tabla2691623[[#This Row],[Total cluster weight (g)]]/COUNTA(A217:A220)</f>
        <v>187.625</v>
      </c>
    </row>
    <row r="221" spans="1:8" x14ac:dyDescent="0.55000000000000004">
      <c r="A221" s="4" t="s">
        <v>146</v>
      </c>
      <c r="B221" s="5">
        <v>59</v>
      </c>
      <c r="C221" s="5">
        <v>67</v>
      </c>
      <c r="D221" s="14" t="s">
        <v>17</v>
      </c>
      <c r="E221" s="7">
        <v>7</v>
      </c>
      <c r="F221" s="13" t="s">
        <v>16</v>
      </c>
      <c r="G221" s="7"/>
      <c r="H221" s="85"/>
    </row>
    <row r="222" spans="1:8" x14ac:dyDescent="0.55000000000000004">
      <c r="A222" s="6" t="s">
        <v>148</v>
      </c>
      <c r="B222" s="7">
        <v>61</v>
      </c>
      <c r="C222" s="7">
        <v>68</v>
      </c>
      <c r="D222" s="14" t="s">
        <v>17</v>
      </c>
      <c r="E222" s="7">
        <v>7</v>
      </c>
      <c r="F222" s="7" t="s">
        <v>16</v>
      </c>
      <c r="G222" s="7"/>
      <c r="H222" s="85"/>
    </row>
    <row r="223" spans="1:8" x14ac:dyDescent="0.55000000000000004">
      <c r="A223" s="8" t="s">
        <v>149</v>
      </c>
      <c r="B223" s="7">
        <v>59</v>
      </c>
      <c r="C223" s="7">
        <v>71</v>
      </c>
      <c r="D223" s="14" t="s">
        <v>17</v>
      </c>
      <c r="E223" s="7">
        <v>7</v>
      </c>
      <c r="F223" s="7" t="s">
        <v>16</v>
      </c>
      <c r="G223" s="7"/>
      <c r="H223" s="85"/>
    </row>
    <row r="224" spans="1:8" x14ac:dyDescent="0.55000000000000004">
      <c r="A224" s="9" t="s">
        <v>150</v>
      </c>
      <c r="B224" s="10">
        <v>60</v>
      </c>
      <c r="C224" s="10">
        <v>72</v>
      </c>
      <c r="D224" s="14" t="s">
        <v>17</v>
      </c>
      <c r="E224" s="7">
        <v>7</v>
      </c>
      <c r="F224" s="7" t="s">
        <v>16</v>
      </c>
      <c r="G224" s="7"/>
      <c r="H224" s="85"/>
    </row>
    <row r="225" spans="1:8" ht="14.7" thickBot="1" x14ac:dyDescent="0.6">
      <c r="A225" s="11" t="s">
        <v>151</v>
      </c>
      <c r="B225" s="12">
        <v>60</v>
      </c>
      <c r="C225" s="12">
        <v>74</v>
      </c>
      <c r="D225" s="16" t="s">
        <v>17</v>
      </c>
      <c r="E225" s="7">
        <v>7</v>
      </c>
      <c r="F225" s="15" t="s">
        <v>16</v>
      </c>
      <c r="G225" s="12">
        <v>831</v>
      </c>
      <c r="H225" s="86">
        <f>Tabla2691623[[#This Row],[Total cluster weight (g)]]/COUNTA(A221:A225)</f>
        <v>166.2</v>
      </c>
    </row>
    <row r="226" spans="1:8" x14ac:dyDescent="0.55000000000000004">
      <c r="A226" s="4" t="s">
        <v>167</v>
      </c>
      <c r="B226" s="5">
        <v>59</v>
      </c>
      <c r="C226" s="5">
        <v>70</v>
      </c>
      <c r="D226" s="14" t="s">
        <v>17</v>
      </c>
      <c r="E226" s="7">
        <v>8</v>
      </c>
      <c r="F226" s="13" t="s">
        <v>16</v>
      </c>
      <c r="G226" s="7"/>
      <c r="H226" s="85"/>
    </row>
    <row r="227" spans="1:8" x14ac:dyDescent="0.55000000000000004">
      <c r="A227" s="6" t="s">
        <v>162</v>
      </c>
      <c r="B227" s="7">
        <v>59</v>
      </c>
      <c r="C227" s="7">
        <v>67</v>
      </c>
      <c r="D227" s="14" t="s">
        <v>17</v>
      </c>
      <c r="E227" s="7">
        <v>8</v>
      </c>
      <c r="F227" s="7" t="s">
        <v>16</v>
      </c>
      <c r="G227" s="7"/>
      <c r="H227" s="85"/>
    </row>
    <row r="228" spans="1:8" x14ac:dyDescent="0.55000000000000004">
      <c r="A228" s="8" t="s">
        <v>168</v>
      </c>
      <c r="B228" s="7">
        <v>60</v>
      </c>
      <c r="C228" s="7">
        <v>71</v>
      </c>
      <c r="D228" s="14" t="s">
        <v>17</v>
      </c>
      <c r="E228" s="7">
        <v>8</v>
      </c>
      <c r="F228" s="7" t="s">
        <v>16</v>
      </c>
      <c r="G228" s="7"/>
      <c r="H228" s="85"/>
    </row>
    <row r="229" spans="1:8" x14ac:dyDescent="0.55000000000000004">
      <c r="A229" s="9" t="s">
        <v>164</v>
      </c>
      <c r="B229" s="10">
        <v>57</v>
      </c>
      <c r="C229" s="10">
        <v>66</v>
      </c>
      <c r="D229" s="14" t="s">
        <v>17</v>
      </c>
      <c r="E229" s="7">
        <v>8</v>
      </c>
      <c r="F229" s="7" t="s">
        <v>16</v>
      </c>
      <c r="G229" s="7"/>
      <c r="H229" s="85"/>
    </row>
    <row r="230" spans="1:8" ht="14.7" thickBot="1" x14ac:dyDescent="0.6">
      <c r="A230" s="11" t="s">
        <v>165</v>
      </c>
      <c r="B230" s="12">
        <v>65</v>
      </c>
      <c r="C230" s="12">
        <v>83</v>
      </c>
      <c r="D230" s="16" t="s">
        <v>17</v>
      </c>
      <c r="E230" s="7">
        <v>8</v>
      </c>
      <c r="F230" s="15" t="s">
        <v>16</v>
      </c>
      <c r="G230" s="12">
        <v>829.5</v>
      </c>
      <c r="H230" s="61">
        <f>Tabla2691623[[#This Row],[Total cluster weight (g)]]/COUNTA(A226:A230)</f>
        <v>165.9</v>
      </c>
    </row>
    <row r="231" spans="1:8" x14ac:dyDescent="0.55000000000000004">
      <c r="A231" s="4" t="s">
        <v>185</v>
      </c>
      <c r="B231" s="5">
        <v>60</v>
      </c>
      <c r="C231" s="5">
        <v>70</v>
      </c>
      <c r="D231" s="14" t="s">
        <v>17</v>
      </c>
      <c r="E231" s="7">
        <v>9</v>
      </c>
      <c r="F231" s="13" t="s">
        <v>16</v>
      </c>
      <c r="G231" s="7"/>
      <c r="H231" s="53"/>
    </row>
    <row r="232" spans="1:8" x14ac:dyDescent="0.55000000000000004">
      <c r="A232" s="6" t="s">
        <v>186</v>
      </c>
      <c r="B232" s="7">
        <v>58</v>
      </c>
      <c r="C232" s="7">
        <v>66</v>
      </c>
      <c r="D232" s="14" t="s">
        <v>17</v>
      </c>
      <c r="E232" s="7">
        <v>9</v>
      </c>
      <c r="F232" s="7" t="s">
        <v>16</v>
      </c>
      <c r="G232" s="7"/>
      <c r="H232" s="53"/>
    </row>
    <row r="233" spans="1:8" x14ac:dyDescent="0.55000000000000004">
      <c r="A233" s="8" t="s">
        <v>187</v>
      </c>
      <c r="B233" s="7">
        <v>58</v>
      </c>
      <c r="C233" s="7">
        <v>65</v>
      </c>
      <c r="D233" s="14" t="s">
        <v>17</v>
      </c>
      <c r="E233" s="7">
        <v>9</v>
      </c>
      <c r="F233" s="7" t="s">
        <v>16</v>
      </c>
      <c r="G233" s="7"/>
      <c r="H233" s="53"/>
    </row>
    <row r="234" spans="1:8" x14ac:dyDescent="0.55000000000000004">
      <c r="A234" s="9" t="s">
        <v>188</v>
      </c>
      <c r="B234" s="10">
        <v>57</v>
      </c>
      <c r="C234" s="10">
        <v>64</v>
      </c>
      <c r="D234" s="14" t="s">
        <v>17</v>
      </c>
      <c r="E234" s="7">
        <v>9</v>
      </c>
      <c r="F234" s="7" t="s">
        <v>16</v>
      </c>
      <c r="G234" s="7"/>
      <c r="H234" s="53"/>
    </row>
    <row r="235" spans="1:8" ht="14.7" thickBot="1" x14ac:dyDescent="0.6">
      <c r="A235" s="11" t="s">
        <v>189</v>
      </c>
      <c r="B235" s="12">
        <v>51</v>
      </c>
      <c r="C235" s="12">
        <v>58</v>
      </c>
      <c r="D235" s="16" t="s">
        <v>17</v>
      </c>
      <c r="E235" s="7">
        <v>9</v>
      </c>
      <c r="F235" s="15" t="s">
        <v>16</v>
      </c>
      <c r="G235" s="12">
        <v>653</v>
      </c>
      <c r="H235" s="61">
        <f>Tabla2691623[[#This Row],[Total cluster weight (g)]]/COUNTA(A231:A235)</f>
        <v>130.6</v>
      </c>
    </row>
    <row r="236" spans="1:8" x14ac:dyDescent="0.55000000000000004">
      <c r="A236" s="4" t="s">
        <v>200</v>
      </c>
      <c r="B236" s="5">
        <v>57</v>
      </c>
      <c r="C236" s="5">
        <v>68</v>
      </c>
      <c r="D236" s="14" t="s">
        <v>17</v>
      </c>
      <c r="E236" s="7">
        <v>10</v>
      </c>
      <c r="F236" s="13" t="s">
        <v>16</v>
      </c>
      <c r="G236" s="7"/>
      <c r="H236" s="53"/>
    </row>
    <row r="237" spans="1:8" x14ac:dyDescent="0.55000000000000004">
      <c r="A237" s="6" t="s">
        <v>201</v>
      </c>
      <c r="B237" s="7">
        <v>55</v>
      </c>
      <c r="C237" s="7">
        <v>63</v>
      </c>
      <c r="D237" s="14" t="s">
        <v>17</v>
      </c>
      <c r="E237" s="7">
        <v>10</v>
      </c>
      <c r="F237" s="7" t="s">
        <v>16</v>
      </c>
      <c r="G237" s="7"/>
      <c r="H237" s="53"/>
    </row>
    <row r="238" spans="1:8" x14ac:dyDescent="0.55000000000000004">
      <c r="A238" s="8" t="s">
        <v>202</v>
      </c>
      <c r="B238" s="7">
        <v>47</v>
      </c>
      <c r="C238" s="7">
        <v>51</v>
      </c>
      <c r="D238" s="14" t="s">
        <v>17</v>
      </c>
      <c r="E238" s="7">
        <v>10</v>
      </c>
      <c r="F238" s="7" t="s">
        <v>16</v>
      </c>
      <c r="G238" s="7"/>
      <c r="H238" s="53"/>
    </row>
    <row r="239" spans="1:8" x14ac:dyDescent="0.55000000000000004">
      <c r="A239" s="9" t="s">
        <v>203</v>
      </c>
      <c r="B239" s="10">
        <v>48</v>
      </c>
      <c r="C239" s="10">
        <v>51</v>
      </c>
      <c r="D239" s="14" t="s">
        <v>17</v>
      </c>
      <c r="E239" s="7">
        <v>10</v>
      </c>
      <c r="F239" s="7" t="s">
        <v>16</v>
      </c>
      <c r="G239" s="7"/>
      <c r="H239" s="53"/>
    </row>
    <row r="240" spans="1:8" ht="14.7" thickBot="1" x14ac:dyDescent="0.6">
      <c r="A240" s="11" t="s">
        <v>204</v>
      </c>
      <c r="B240" s="12">
        <v>54</v>
      </c>
      <c r="C240" s="12">
        <v>65</v>
      </c>
      <c r="D240" s="16" t="s">
        <v>17</v>
      </c>
      <c r="E240" s="7">
        <v>10</v>
      </c>
      <c r="F240" s="12" t="s">
        <v>16</v>
      </c>
      <c r="G240" s="12">
        <v>519</v>
      </c>
      <c r="H240" s="61">
        <f>Tabla2691623[[#This Row],[Total cluster weight (g)]]/COUNTA(A236:A240)</f>
        <v>103.8</v>
      </c>
    </row>
    <row r="241" spans="1:8" x14ac:dyDescent="0.55000000000000004">
      <c r="A241" s="4" t="s">
        <v>205</v>
      </c>
      <c r="B241" s="5">
        <v>55</v>
      </c>
      <c r="C241" s="5">
        <v>66</v>
      </c>
      <c r="D241" s="14" t="s">
        <v>17</v>
      </c>
      <c r="E241" s="7">
        <v>11</v>
      </c>
      <c r="F241" s="10" t="s">
        <v>23</v>
      </c>
      <c r="G241" s="7"/>
      <c r="H241" s="53"/>
    </row>
    <row r="242" spans="1:8" ht="14.7" thickBot="1" x14ac:dyDescent="0.6">
      <c r="A242" s="11" t="s">
        <v>206</v>
      </c>
      <c r="B242" s="12">
        <v>57</v>
      </c>
      <c r="C242" s="12">
        <v>65</v>
      </c>
      <c r="D242" s="16" t="s">
        <v>17</v>
      </c>
      <c r="E242" s="12">
        <v>11</v>
      </c>
      <c r="F242" s="15" t="s">
        <v>15</v>
      </c>
      <c r="G242" s="12">
        <v>279</v>
      </c>
      <c r="H242" s="86">
        <f>Tabla2691623[[#This Row],[Total cluster weight (g)]]/COUNTA(A241:A242)</f>
        <v>139.5</v>
      </c>
    </row>
    <row r="243" spans="1:8" x14ac:dyDescent="0.55000000000000004">
      <c r="A243" s="4" t="s">
        <v>207</v>
      </c>
      <c r="B243" s="5">
        <v>60</v>
      </c>
      <c r="C243" s="5">
        <v>68</v>
      </c>
      <c r="D243" s="14" t="s">
        <v>17</v>
      </c>
      <c r="E243" s="7">
        <v>12</v>
      </c>
      <c r="F243" s="13" t="s">
        <v>15</v>
      </c>
      <c r="G243" s="7"/>
      <c r="H243" s="53"/>
    </row>
    <row r="244" spans="1:8" x14ac:dyDescent="0.55000000000000004">
      <c r="A244" s="6" t="s">
        <v>208</v>
      </c>
      <c r="B244" s="7">
        <v>59</v>
      </c>
      <c r="C244" s="7">
        <v>68</v>
      </c>
      <c r="D244" s="14" t="s">
        <v>17</v>
      </c>
      <c r="E244" s="7">
        <v>12</v>
      </c>
      <c r="F244" s="7" t="s">
        <v>15</v>
      </c>
      <c r="G244" s="7"/>
      <c r="H244" s="53"/>
    </row>
    <row r="245" spans="1:8" x14ac:dyDescent="0.55000000000000004">
      <c r="A245" s="8" t="s">
        <v>209</v>
      </c>
      <c r="B245" s="7">
        <v>58</v>
      </c>
      <c r="C245" s="7">
        <v>61</v>
      </c>
      <c r="D245" s="14" t="s">
        <v>17</v>
      </c>
      <c r="E245" s="7">
        <v>12</v>
      </c>
      <c r="F245" s="7" t="s">
        <v>16</v>
      </c>
      <c r="G245" s="7"/>
      <c r="H245" s="53"/>
    </row>
    <row r="246" spans="1:8" x14ac:dyDescent="0.55000000000000004">
      <c r="A246" s="9" t="s">
        <v>210</v>
      </c>
      <c r="B246" s="10">
        <v>56</v>
      </c>
      <c r="C246" s="10">
        <v>63</v>
      </c>
      <c r="D246" s="14" t="s">
        <v>17</v>
      </c>
      <c r="E246" s="7">
        <v>12</v>
      </c>
      <c r="F246" s="7" t="s">
        <v>16</v>
      </c>
      <c r="G246" s="7"/>
      <c r="H246" s="53"/>
    </row>
    <row r="247" spans="1:8" ht="14.7" thickBot="1" x14ac:dyDescent="0.6">
      <c r="A247" s="11" t="s">
        <v>211</v>
      </c>
      <c r="B247" s="12">
        <v>55</v>
      </c>
      <c r="C247" s="12">
        <v>71</v>
      </c>
      <c r="D247" s="16" t="s">
        <v>17</v>
      </c>
      <c r="E247" s="7">
        <v>12</v>
      </c>
      <c r="F247" s="15" t="s">
        <v>16</v>
      </c>
      <c r="G247" s="12">
        <v>705.5</v>
      </c>
      <c r="H247" s="61">
        <f>Tabla2691623[[#This Row],[Total cluster weight (g)]]/COUNTA(A243:A247)</f>
        <v>141.1</v>
      </c>
    </row>
    <row r="248" spans="1:8" x14ac:dyDescent="0.55000000000000004">
      <c r="A248" s="19"/>
      <c r="B248" s="20"/>
      <c r="C248" s="2"/>
      <c r="D248" s="21"/>
      <c r="E248" s="2"/>
      <c r="F248" s="2"/>
      <c r="G248" s="2"/>
    </row>
    <row r="249" spans="1:8" x14ac:dyDescent="0.55000000000000004">
      <c r="A249" s="39" t="s">
        <v>60</v>
      </c>
      <c r="B249" s="35" t="s">
        <v>44</v>
      </c>
      <c r="C249" s="35" t="s">
        <v>45</v>
      </c>
      <c r="D249" s="35" t="s">
        <v>46</v>
      </c>
      <c r="E249" s="35" t="s">
        <v>47</v>
      </c>
      <c r="F249" s="36" t="s">
        <v>56</v>
      </c>
      <c r="G249" s="60" t="s">
        <v>72</v>
      </c>
    </row>
    <row r="250" spans="1:8" x14ac:dyDescent="0.55000000000000004">
      <c r="A250" s="40" t="s">
        <v>48</v>
      </c>
      <c r="B250" s="37">
        <f>AVERAGE(Tabla2691623[Height (mm)])</f>
        <v>58.267857142857146</v>
      </c>
      <c r="C250" s="37">
        <f>AVERAGE(Tabla2691623[Width (mm)])</f>
        <v>68.303571428571431</v>
      </c>
      <c r="D250" s="37">
        <f>MAX(Tabla2691623[[Cluster number ]])</f>
        <v>12</v>
      </c>
      <c r="E250" s="37">
        <f>AVERAGE(Tabla2691623[Tomato average weight per cluster])</f>
        <v>150.58541666666665</v>
      </c>
      <c r="F250" s="38">
        <f>COUNTA(Tabla2691623["L20" PLANT])</f>
        <v>56</v>
      </c>
      <c r="G250" s="59">
        <f>SUM(Tabla2691623[Total cluster weight (g)])</f>
        <v>8429</v>
      </c>
    </row>
    <row r="252" spans="1:8" x14ac:dyDescent="0.55000000000000004">
      <c r="A252" s="3" t="s">
        <v>35</v>
      </c>
      <c r="B252" t="s">
        <v>2</v>
      </c>
      <c r="C252" t="s">
        <v>3</v>
      </c>
      <c r="D252" t="s">
        <v>4</v>
      </c>
      <c r="E252" t="s">
        <v>5</v>
      </c>
      <c r="F252" t="s">
        <v>6</v>
      </c>
      <c r="G252" t="s">
        <v>7</v>
      </c>
      <c r="H252" s="34" t="s">
        <v>43</v>
      </c>
    </row>
    <row r="253" spans="1:8" x14ac:dyDescent="0.55000000000000004">
      <c r="A253" s="22" t="s">
        <v>89</v>
      </c>
      <c r="B253" s="10">
        <v>55</v>
      </c>
      <c r="C253" s="10">
        <v>62</v>
      </c>
      <c r="D253" s="10" t="s">
        <v>17</v>
      </c>
      <c r="E253" s="10">
        <v>1</v>
      </c>
      <c r="F253" s="10" t="s">
        <v>16</v>
      </c>
      <c r="G253" s="10"/>
      <c r="H253" s="54"/>
    </row>
    <row r="254" spans="1:8" x14ac:dyDescent="0.55000000000000004">
      <c r="A254" s="8" t="s">
        <v>99</v>
      </c>
      <c r="B254" s="7">
        <v>56</v>
      </c>
      <c r="C254" s="7">
        <v>63</v>
      </c>
      <c r="D254" s="7" t="s">
        <v>17</v>
      </c>
      <c r="E254" s="10">
        <v>1</v>
      </c>
      <c r="F254" s="7" t="s">
        <v>16</v>
      </c>
      <c r="G254" s="7"/>
      <c r="H254" s="50"/>
    </row>
    <row r="255" spans="1:8" x14ac:dyDescent="0.55000000000000004">
      <c r="A255" s="8" t="s">
        <v>91</v>
      </c>
      <c r="B255" s="7">
        <v>54</v>
      </c>
      <c r="C255" s="7">
        <v>63</v>
      </c>
      <c r="D255" s="7" t="s">
        <v>17</v>
      </c>
      <c r="E255" s="10">
        <v>1</v>
      </c>
      <c r="F255" s="7" t="s">
        <v>16</v>
      </c>
      <c r="G255" s="7"/>
      <c r="H255" s="50"/>
    </row>
    <row r="256" spans="1:8" x14ac:dyDescent="0.55000000000000004">
      <c r="A256" s="8" t="s">
        <v>92</v>
      </c>
      <c r="B256" s="7">
        <v>56</v>
      </c>
      <c r="C256" s="7">
        <v>66</v>
      </c>
      <c r="D256" s="7" t="s">
        <v>17</v>
      </c>
      <c r="E256" s="10">
        <v>1</v>
      </c>
      <c r="F256" s="7" t="s">
        <v>16</v>
      </c>
      <c r="G256" s="7"/>
      <c r="H256" s="50"/>
    </row>
    <row r="257" spans="1:8" ht="14.7" thickBot="1" x14ac:dyDescent="0.6">
      <c r="A257" s="23" t="s">
        <v>94</v>
      </c>
      <c r="B257" s="12">
        <v>53</v>
      </c>
      <c r="C257" s="12">
        <v>66</v>
      </c>
      <c r="D257" s="12" t="s">
        <v>17</v>
      </c>
      <c r="E257" s="10">
        <v>1</v>
      </c>
      <c r="F257" s="12" t="s">
        <v>16</v>
      </c>
      <c r="G257" s="12">
        <v>615.5</v>
      </c>
      <c r="H257" s="58">
        <f>Tabla2691624[[#This Row],[Total cluster weight (g)]]/COUNTA(A253:A257)</f>
        <v>123.1</v>
      </c>
    </row>
    <row r="258" spans="1:8" x14ac:dyDescent="0.55000000000000004">
      <c r="A258" s="4" t="s">
        <v>95</v>
      </c>
      <c r="B258" s="5">
        <v>55</v>
      </c>
      <c r="C258" s="5">
        <v>63</v>
      </c>
      <c r="D258" s="67" t="s">
        <v>17</v>
      </c>
      <c r="E258" s="7">
        <v>2</v>
      </c>
      <c r="F258" s="13" t="s">
        <v>15</v>
      </c>
      <c r="G258" s="7"/>
      <c r="H258" s="53"/>
    </row>
    <row r="259" spans="1:8" x14ac:dyDescent="0.55000000000000004">
      <c r="A259" s="6" t="s">
        <v>107</v>
      </c>
      <c r="B259" s="7">
        <v>55</v>
      </c>
      <c r="C259" s="7">
        <v>64</v>
      </c>
      <c r="D259" s="67" t="s">
        <v>17</v>
      </c>
      <c r="E259" s="7">
        <v>2</v>
      </c>
      <c r="F259" s="7" t="s">
        <v>15</v>
      </c>
      <c r="G259" s="7"/>
      <c r="H259" s="53"/>
    </row>
    <row r="260" spans="1:8" x14ac:dyDescent="0.55000000000000004">
      <c r="A260" s="8" t="s">
        <v>108</v>
      </c>
      <c r="B260" s="7">
        <v>55</v>
      </c>
      <c r="C260" s="7">
        <v>67</v>
      </c>
      <c r="D260" s="67" t="s">
        <v>17</v>
      </c>
      <c r="E260" s="7">
        <v>2</v>
      </c>
      <c r="F260" s="7" t="s">
        <v>15</v>
      </c>
      <c r="G260" s="7"/>
      <c r="H260" s="53"/>
    </row>
    <row r="261" spans="1:8" x14ac:dyDescent="0.55000000000000004">
      <c r="A261" s="9" t="s">
        <v>109</v>
      </c>
      <c r="B261" s="10">
        <v>55</v>
      </c>
      <c r="C261" s="10">
        <v>63</v>
      </c>
      <c r="D261" s="67" t="s">
        <v>17</v>
      </c>
      <c r="E261" s="7">
        <v>2</v>
      </c>
      <c r="F261" s="7" t="s">
        <v>16</v>
      </c>
      <c r="G261" s="7"/>
      <c r="H261" s="53"/>
    </row>
    <row r="262" spans="1:8" ht="14.7" thickBot="1" x14ac:dyDescent="0.6">
      <c r="A262" s="11" t="s">
        <v>110</v>
      </c>
      <c r="B262" s="12">
        <v>56</v>
      </c>
      <c r="C262" s="12">
        <v>65</v>
      </c>
      <c r="D262" s="81" t="s">
        <v>17</v>
      </c>
      <c r="E262" s="7">
        <v>2</v>
      </c>
      <c r="F262" s="12" t="s">
        <v>16</v>
      </c>
      <c r="G262" s="12">
        <v>624</v>
      </c>
      <c r="H262" s="58">
        <f>Tabla2691624[[#This Row],[Total cluster weight (g)]]/COUNTA(A258:A262)</f>
        <v>124.8</v>
      </c>
    </row>
    <row r="263" spans="1:8" x14ac:dyDescent="0.55000000000000004">
      <c r="A263" s="22" t="s">
        <v>111</v>
      </c>
      <c r="B263" s="10">
        <v>58</v>
      </c>
      <c r="C263" s="10">
        <v>65</v>
      </c>
      <c r="D263" s="71" t="s">
        <v>17</v>
      </c>
      <c r="E263" s="10">
        <v>3</v>
      </c>
      <c r="F263" s="10" t="s">
        <v>16</v>
      </c>
      <c r="G263" s="10"/>
      <c r="H263" s="54"/>
    </row>
    <row r="264" spans="1:8" x14ac:dyDescent="0.55000000000000004">
      <c r="A264" s="8" t="s">
        <v>119</v>
      </c>
      <c r="B264" s="7">
        <v>58</v>
      </c>
      <c r="C264" s="7">
        <v>67</v>
      </c>
      <c r="D264" s="67" t="s">
        <v>17</v>
      </c>
      <c r="E264" s="10">
        <v>3</v>
      </c>
      <c r="F264" s="7" t="s">
        <v>16</v>
      </c>
      <c r="G264" s="7"/>
      <c r="H264" s="50"/>
    </row>
    <row r="265" spans="1:8" x14ac:dyDescent="0.55000000000000004">
      <c r="A265" s="8" t="s">
        <v>120</v>
      </c>
      <c r="B265" s="7">
        <v>59</v>
      </c>
      <c r="C265" s="7">
        <v>65</v>
      </c>
      <c r="D265" s="67" t="s">
        <v>17</v>
      </c>
      <c r="E265" s="10">
        <v>3</v>
      </c>
      <c r="F265" s="7" t="s">
        <v>16</v>
      </c>
      <c r="G265" s="7"/>
      <c r="H265" s="50"/>
    </row>
    <row r="266" spans="1:8" x14ac:dyDescent="0.55000000000000004">
      <c r="A266" s="8" t="s">
        <v>121</v>
      </c>
      <c r="B266" s="7">
        <v>60</v>
      </c>
      <c r="C266" s="7">
        <v>67</v>
      </c>
      <c r="D266" s="67" t="s">
        <v>17</v>
      </c>
      <c r="E266" s="10">
        <v>3</v>
      </c>
      <c r="F266" s="7" t="s">
        <v>16</v>
      </c>
      <c r="G266" s="7"/>
      <c r="H266" s="50"/>
    </row>
    <row r="267" spans="1:8" ht="14.7" thickBot="1" x14ac:dyDescent="0.6">
      <c r="A267" s="23" t="s">
        <v>122</v>
      </c>
      <c r="B267" s="12">
        <v>58</v>
      </c>
      <c r="C267" s="12">
        <v>66</v>
      </c>
      <c r="D267" s="81" t="s">
        <v>17</v>
      </c>
      <c r="E267" s="10">
        <v>3</v>
      </c>
      <c r="F267" s="12" t="s">
        <v>16</v>
      </c>
      <c r="G267" s="12">
        <v>691</v>
      </c>
      <c r="H267" s="58">
        <f>Tabla2691624[[#This Row],[Total cluster weight (g)]]/COUNTA(A263:A267)</f>
        <v>138.19999999999999</v>
      </c>
    </row>
    <row r="268" spans="1:8" x14ac:dyDescent="0.55000000000000004">
      <c r="A268" s="22" t="s">
        <v>123</v>
      </c>
      <c r="B268" s="10">
        <v>59</v>
      </c>
      <c r="C268" s="10">
        <v>64</v>
      </c>
      <c r="D268" s="71" t="s">
        <v>17</v>
      </c>
      <c r="E268" s="10">
        <v>4</v>
      </c>
      <c r="F268" s="10" t="s">
        <v>16</v>
      </c>
      <c r="G268" s="10"/>
      <c r="H268" s="54"/>
    </row>
    <row r="269" spans="1:8" x14ac:dyDescent="0.55000000000000004">
      <c r="A269" s="8" t="s">
        <v>124</v>
      </c>
      <c r="B269" s="7">
        <v>59</v>
      </c>
      <c r="C269" s="7">
        <v>66</v>
      </c>
      <c r="D269" s="67" t="s">
        <v>17</v>
      </c>
      <c r="E269" s="10">
        <v>4</v>
      </c>
      <c r="F269" s="7" t="s">
        <v>16</v>
      </c>
      <c r="G269" s="7"/>
      <c r="H269" s="50"/>
    </row>
    <row r="270" spans="1:8" x14ac:dyDescent="0.55000000000000004">
      <c r="A270" s="8" t="s">
        <v>125</v>
      </c>
      <c r="B270" s="7">
        <v>57</v>
      </c>
      <c r="C270" s="7">
        <v>66</v>
      </c>
      <c r="D270" s="67" t="s">
        <v>17</v>
      </c>
      <c r="E270" s="10">
        <v>4</v>
      </c>
      <c r="F270" s="7" t="s">
        <v>16</v>
      </c>
      <c r="G270" s="7"/>
      <c r="H270" s="50"/>
    </row>
    <row r="271" spans="1:8" x14ac:dyDescent="0.55000000000000004">
      <c r="A271" s="8" t="s">
        <v>126</v>
      </c>
      <c r="B271" s="7">
        <v>62</v>
      </c>
      <c r="C271" s="7">
        <v>70</v>
      </c>
      <c r="D271" s="67" t="s">
        <v>17</v>
      </c>
      <c r="E271" s="10">
        <v>4</v>
      </c>
      <c r="F271" s="7" t="s">
        <v>16</v>
      </c>
      <c r="G271" s="7"/>
      <c r="H271" s="50"/>
    </row>
    <row r="272" spans="1:8" ht="14.7" thickBot="1" x14ac:dyDescent="0.6">
      <c r="A272" s="23" t="s">
        <v>127</v>
      </c>
      <c r="B272" s="12">
        <v>59</v>
      </c>
      <c r="C272" s="12">
        <v>73</v>
      </c>
      <c r="D272" s="81" t="s">
        <v>17</v>
      </c>
      <c r="E272" s="10">
        <v>4</v>
      </c>
      <c r="F272" s="12" t="s">
        <v>16</v>
      </c>
      <c r="G272" s="12">
        <v>770</v>
      </c>
      <c r="H272" s="58">
        <f>Tabla2691624[[#This Row],[Total cluster weight (g)]]/COUNTA(A268:A272)</f>
        <v>154</v>
      </c>
    </row>
    <row r="273" spans="1:8" x14ac:dyDescent="0.55000000000000004">
      <c r="A273" s="22" t="s">
        <v>128</v>
      </c>
      <c r="B273" s="10">
        <v>62</v>
      </c>
      <c r="C273" s="10">
        <v>73</v>
      </c>
      <c r="D273" s="71" t="s">
        <v>17</v>
      </c>
      <c r="E273" s="10">
        <v>5</v>
      </c>
      <c r="F273" s="10" t="s">
        <v>16</v>
      </c>
      <c r="G273" s="10"/>
      <c r="H273" s="54"/>
    </row>
    <row r="274" spans="1:8" x14ac:dyDescent="0.55000000000000004">
      <c r="A274" s="8" t="s">
        <v>131</v>
      </c>
      <c r="B274" s="7">
        <v>62</v>
      </c>
      <c r="C274" s="7">
        <v>75</v>
      </c>
      <c r="D274" s="67" t="s">
        <v>17</v>
      </c>
      <c r="E274" s="10">
        <v>5</v>
      </c>
      <c r="F274" s="7" t="s">
        <v>16</v>
      </c>
      <c r="G274" s="7"/>
      <c r="H274" s="50"/>
    </row>
    <row r="275" spans="1:8" x14ac:dyDescent="0.55000000000000004">
      <c r="A275" s="8" t="s">
        <v>132</v>
      </c>
      <c r="B275" s="7">
        <v>62</v>
      </c>
      <c r="C275" s="7">
        <v>72</v>
      </c>
      <c r="D275" s="67" t="s">
        <v>17</v>
      </c>
      <c r="E275" s="10">
        <v>5</v>
      </c>
      <c r="F275" s="7" t="s">
        <v>16</v>
      </c>
      <c r="G275" s="7"/>
      <c r="H275" s="50"/>
    </row>
    <row r="276" spans="1:8" ht="14.7" thickBot="1" x14ac:dyDescent="0.6">
      <c r="A276" s="23" t="s">
        <v>133</v>
      </c>
      <c r="B276" s="12">
        <v>61</v>
      </c>
      <c r="C276" s="12">
        <v>72</v>
      </c>
      <c r="D276" s="81" t="s">
        <v>17</v>
      </c>
      <c r="E276" s="10">
        <v>5</v>
      </c>
      <c r="F276" s="12" t="s">
        <v>16</v>
      </c>
      <c r="G276" s="12">
        <v>688</v>
      </c>
      <c r="H276" s="58">
        <f>Tabla2691624[[#This Row],[Total cluster weight (g)]]/COUNTA(A273:A276)</f>
        <v>172</v>
      </c>
    </row>
    <row r="277" spans="1:8" x14ac:dyDescent="0.55000000000000004">
      <c r="A277" s="22" t="s">
        <v>134</v>
      </c>
      <c r="B277" s="10">
        <v>58</v>
      </c>
      <c r="C277" s="10">
        <v>65</v>
      </c>
      <c r="D277" s="71" t="s">
        <v>17</v>
      </c>
      <c r="E277" s="10">
        <v>6</v>
      </c>
      <c r="F277" s="10" t="s">
        <v>16</v>
      </c>
      <c r="G277" s="10"/>
      <c r="H277" s="54"/>
    </row>
    <row r="278" spans="1:8" x14ac:dyDescent="0.55000000000000004">
      <c r="A278" s="8" t="s">
        <v>135</v>
      </c>
      <c r="B278" s="7">
        <v>60</v>
      </c>
      <c r="C278" s="7">
        <v>68</v>
      </c>
      <c r="D278" s="67" t="s">
        <v>17</v>
      </c>
      <c r="E278" s="10">
        <v>6</v>
      </c>
      <c r="F278" s="7" t="s">
        <v>16</v>
      </c>
      <c r="G278" s="7"/>
      <c r="H278" s="50"/>
    </row>
    <row r="279" spans="1:8" x14ac:dyDescent="0.55000000000000004">
      <c r="A279" s="8" t="s">
        <v>136</v>
      </c>
      <c r="B279" s="7">
        <v>61</v>
      </c>
      <c r="C279" s="7">
        <v>71</v>
      </c>
      <c r="D279" s="67" t="s">
        <v>17</v>
      </c>
      <c r="E279" s="10">
        <v>6</v>
      </c>
      <c r="F279" s="7" t="s">
        <v>16</v>
      </c>
      <c r="G279" s="7"/>
      <c r="H279" s="50"/>
    </row>
    <row r="280" spans="1:8" ht="14.7" thickBot="1" x14ac:dyDescent="0.6">
      <c r="A280" s="23" t="s">
        <v>137</v>
      </c>
      <c r="B280" s="12">
        <v>59</v>
      </c>
      <c r="C280" s="12">
        <v>70</v>
      </c>
      <c r="D280" s="81" t="s">
        <v>17</v>
      </c>
      <c r="E280" s="10">
        <v>6</v>
      </c>
      <c r="F280" s="12" t="s">
        <v>16</v>
      </c>
      <c r="G280" s="12">
        <v>614</v>
      </c>
      <c r="H280" s="58">
        <f>Tabla2691624[[#This Row],[Total cluster weight (g)]]/COUNTA(A277:A280)</f>
        <v>153.5</v>
      </c>
    </row>
    <row r="281" spans="1:8" x14ac:dyDescent="0.55000000000000004">
      <c r="A281" s="22" t="s">
        <v>138</v>
      </c>
      <c r="B281" s="10">
        <v>60</v>
      </c>
      <c r="C281" s="10">
        <v>65</v>
      </c>
      <c r="D281" s="71" t="s">
        <v>17</v>
      </c>
      <c r="E281" s="10">
        <v>7</v>
      </c>
      <c r="F281" s="10" t="s">
        <v>15</v>
      </c>
      <c r="G281" s="10"/>
      <c r="H281" s="54"/>
    </row>
    <row r="282" spans="1:8" x14ac:dyDescent="0.55000000000000004">
      <c r="A282" s="8" t="s">
        <v>139</v>
      </c>
      <c r="B282" s="7">
        <v>60</v>
      </c>
      <c r="C282" s="7">
        <v>66</v>
      </c>
      <c r="D282" s="67" t="s">
        <v>17</v>
      </c>
      <c r="E282" s="10">
        <v>7</v>
      </c>
      <c r="F282" s="7" t="s">
        <v>15</v>
      </c>
      <c r="G282" s="7"/>
      <c r="H282" s="50"/>
    </row>
    <row r="283" spans="1:8" x14ac:dyDescent="0.55000000000000004">
      <c r="A283" s="8" t="s">
        <v>140</v>
      </c>
      <c r="B283" s="7">
        <v>52</v>
      </c>
      <c r="C283" s="7">
        <v>68</v>
      </c>
      <c r="D283" s="67" t="s">
        <v>17</v>
      </c>
      <c r="E283" s="10">
        <v>7</v>
      </c>
      <c r="F283" s="7" t="s">
        <v>15</v>
      </c>
      <c r="G283" s="7"/>
      <c r="H283" s="50"/>
    </row>
    <row r="284" spans="1:8" x14ac:dyDescent="0.55000000000000004">
      <c r="A284" s="8" t="s">
        <v>142</v>
      </c>
      <c r="B284" s="7">
        <v>62</v>
      </c>
      <c r="C284" s="7">
        <v>69</v>
      </c>
      <c r="D284" s="67" t="s">
        <v>17</v>
      </c>
      <c r="E284" s="10">
        <v>7</v>
      </c>
      <c r="F284" s="7" t="s">
        <v>15</v>
      </c>
      <c r="G284" s="7"/>
      <c r="H284" s="50"/>
    </row>
    <row r="285" spans="1:8" ht="14.7" thickBot="1" x14ac:dyDescent="0.6">
      <c r="A285" s="23" t="s">
        <v>143</v>
      </c>
      <c r="B285" s="12">
        <v>61</v>
      </c>
      <c r="C285" s="12">
        <v>72</v>
      </c>
      <c r="D285" s="81" t="s">
        <v>17</v>
      </c>
      <c r="E285" s="10">
        <v>7</v>
      </c>
      <c r="F285" s="12" t="s">
        <v>15</v>
      </c>
      <c r="G285" s="12">
        <v>766.5</v>
      </c>
      <c r="H285" s="58">
        <f>Tabla2691624[[#This Row],[Total cluster weight (g)]]/COUNTA(A281:A285)</f>
        <v>153.30000000000001</v>
      </c>
    </row>
    <row r="286" spans="1:8" x14ac:dyDescent="0.55000000000000004">
      <c r="A286" s="4" t="s">
        <v>169</v>
      </c>
      <c r="B286" s="5">
        <v>56</v>
      </c>
      <c r="C286" s="5">
        <v>61</v>
      </c>
      <c r="D286" s="14" t="s">
        <v>17</v>
      </c>
      <c r="E286" s="7">
        <v>8</v>
      </c>
      <c r="F286" s="13" t="s">
        <v>16</v>
      </c>
      <c r="G286" s="7"/>
      <c r="H286" s="85"/>
    </row>
    <row r="287" spans="1:8" x14ac:dyDescent="0.55000000000000004">
      <c r="A287" s="6" t="s">
        <v>159</v>
      </c>
      <c r="B287" s="7">
        <v>61</v>
      </c>
      <c r="C287" s="7">
        <v>65</v>
      </c>
      <c r="D287" s="14" t="s">
        <v>17</v>
      </c>
      <c r="E287" s="7">
        <v>8</v>
      </c>
      <c r="F287" s="7" t="s">
        <v>16</v>
      </c>
      <c r="G287" s="7"/>
      <c r="H287" s="85"/>
    </row>
    <row r="288" spans="1:8" x14ac:dyDescent="0.55000000000000004">
      <c r="A288" s="8" t="s">
        <v>170</v>
      </c>
      <c r="B288" s="7">
        <v>62</v>
      </c>
      <c r="C288" s="7">
        <v>70</v>
      </c>
      <c r="D288" s="14" t="s">
        <v>17</v>
      </c>
      <c r="E288" s="7">
        <v>8</v>
      </c>
      <c r="F288" s="7" t="s">
        <v>16</v>
      </c>
      <c r="G288" s="7"/>
      <c r="H288" s="85"/>
    </row>
    <row r="289" spans="1:8" x14ac:dyDescent="0.55000000000000004">
      <c r="A289" s="9" t="s">
        <v>148</v>
      </c>
      <c r="B289" s="10">
        <v>60</v>
      </c>
      <c r="C289" s="10">
        <v>65</v>
      </c>
      <c r="D289" s="14" t="s">
        <v>17</v>
      </c>
      <c r="E289" s="7">
        <v>8</v>
      </c>
      <c r="F289" s="7" t="s">
        <v>16</v>
      </c>
      <c r="G289" s="7"/>
      <c r="H289" s="85"/>
    </row>
    <row r="290" spans="1:8" ht="14.7" thickBot="1" x14ac:dyDescent="0.6">
      <c r="A290" s="11" t="s">
        <v>149</v>
      </c>
      <c r="B290" s="12">
        <v>58</v>
      </c>
      <c r="C290" s="12">
        <v>67</v>
      </c>
      <c r="D290" s="16" t="s">
        <v>17</v>
      </c>
      <c r="E290" s="7">
        <v>8</v>
      </c>
      <c r="F290" s="15" t="s">
        <v>16</v>
      </c>
      <c r="G290" s="12">
        <v>712</v>
      </c>
      <c r="H290" s="61">
        <f>Tabla2691624[[#This Row],[Total cluster weight (g)]]/COUNTA(A286:A290)</f>
        <v>142.4</v>
      </c>
    </row>
    <row r="291" spans="1:8" x14ac:dyDescent="0.55000000000000004">
      <c r="A291" s="4" t="s">
        <v>150</v>
      </c>
      <c r="B291" s="5">
        <v>54</v>
      </c>
      <c r="C291" s="5">
        <v>59</v>
      </c>
      <c r="D291" s="14" t="s">
        <v>17</v>
      </c>
      <c r="E291" s="7">
        <v>9</v>
      </c>
      <c r="F291" s="13" t="s">
        <v>16</v>
      </c>
      <c r="G291" s="7"/>
      <c r="H291" s="53"/>
    </row>
    <row r="292" spans="1:8" x14ac:dyDescent="0.55000000000000004">
      <c r="A292" s="6" t="s">
        <v>151</v>
      </c>
      <c r="B292" s="7">
        <v>57</v>
      </c>
      <c r="C292" s="7">
        <v>63</v>
      </c>
      <c r="D292" s="14" t="s">
        <v>17</v>
      </c>
      <c r="E292" s="7">
        <v>9</v>
      </c>
      <c r="F292" s="7" t="s">
        <v>16</v>
      </c>
      <c r="G292" s="7"/>
      <c r="H292" s="53"/>
    </row>
    <row r="293" spans="1:8" x14ac:dyDescent="0.55000000000000004">
      <c r="A293" s="8" t="s">
        <v>152</v>
      </c>
      <c r="B293" s="7">
        <v>57</v>
      </c>
      <c r="C293" s="7">
        <v>66</v>
      </c>
      <c r="D293" s="14" t="s">
        <v>17</v>
      </c>
      <c r="E293" s="7">
        <v>9</v>
      </c>
      <c r="F293" s="7" t="s">
        <v>16</v>
      </c>
      <c r="G293" s="7"/>
      <c r="H293" s="53"/>
    </row>
    <row r="294" spans="1:8" x14ac:dyDescent="0.55000000000000004">
      <c r="A294" s="9" t="s">
        <v>153</v>
      </c>
      <c r="B294" s="10">
        <v>58</v>
      </c>
      <c r="C294" s="10">
        <v>65</v>
      </c>
      <c r="D294" s="14" t="s">
        <v>17</v>
      </c>
      <c r="E294" s="7">
        <v>9</v>
      </c>
      <c r="F294" s="7" t="s">
        <v>16</v>
      </c>
      <c r="G294" s="7"/>
      <c r="H294" s="53"/>
    </row>
    <row r="295" spans="1:8" ht="14.7" thickBot="1" x14ac:dyDescent="0.6">
      <c r="A295" s="11" t="s">
        <v>154</v>
      </c>
      <c r="B295" s="12">
        <v>58</v>
      </c>
      <c r="C295" s="12">
        <v>72</v>
      </c>
      <c r="D295" s="16" t="s">
        <v>17</v>
      </c>
      <c r="E295" s="7">
        <v>9</v>
      </c>
      <c r="F295" s="15" t="s">
        <v>16</v>
      </c>
      <c r="G295" s="12">
        <v>663</v>
      </c>
      <c r="H295" s="61">
        <f>Tabla2691624[[#This Row],[Total cluster weight (g)]]/COUNTA(A291:A295)</f>
        <v>132.6</v>
      </c>
    </row>
    <row r="296" spans="1:8" x14ac:dyDescent="0.55000000000000004">
      <c r="A296" s="4" t="s">
        <v>164</v>
      </c>
      <c r="B296" s="5">
        <v>53</v>
      </c>
      <c r="C296" s="5">
        <v>57</v>
      </c>
      <c r="D296" s="14" t="s">
        <v>17</v>
      </c>
      <c r="E296" s="7">
        <v>10</v>
      </c>
      <c r="F296" s="13" t="s">
        <v>16</v>
      </c>
      <c r="G296" s="7"/>
      <c r="H296" s="53"/>
    </row>
    <row r="297" spans="1:8" x14ac:dyDescent="0.55000000000000004">
      <c r="A297" s="6" t="s">
        <v>165</v>
      </c>
      <c r="B297" s="7">
        <v>57</v>
      </c>
      <c r="C297" s="7">
        <v>75</v>
      </c>
      <c r="D297" s="14" t="s">
        <v>17</v>
      </c>
      <c r="E297" s="7">
        <v>10</v>
      </c>
      <c r="F297" s="7" t="s">
        <v>16</v>
      </c>
      <c r="G297" s="7"/>
      <c r="H297" s="53"/>
    </row>
    <row r="298" spans="1:8" x14ac:dyDescent="0.55000000000000004">
      <c r="A298" s="8" t="s">
        <v>185</v>
      </c>
      <c r="B298" s="7">
        <v>55</v>
      </c>
      <c r="C298" s="7">
        <v>63</v>
      </c>
      <c r="D298" s="14" t="s">
        <v>17</v>
      </c>
      <c r="E298" s="7">
        <v>10</v>
      </c>
      <c r="F298" s="7" t="s">
        <v>16</v>
      </c>
      <c r="G298" s="7"/>
      <c r="H298" s="53"/>
    </row>
    <row r="299" spans="1:8" ht="14.7" thickBot="1" x14ac:dyDescent="0.6">
      <c r="A299" s="11" t="s">
        <v>186</v>
      </c>
      <c r="B299" s="12">
        <v>52</v>
      </c>
      <c r="C299" s="12">
        <v>61</v>
      </c>
      <c r="D299" s="16" t="s">
        <v>17</v>
      </c>
      <c r="E299" s="7">
        <v>10</v>
      </c>
      <c r="F299" s="15" t="s">
        <v>16</v>
      </c>
      <c r="G299" s="12">
        <v>489</v>
      </c>
      <c r="H299" s="61">
        <f>Tabla2691624[[#This Row],[Total cluster weight (g)]]/COUNTA(A296:A299)</f>
        <v>122.25</v>
      </c>
    </row>
    <row r="300" spans="1:8" x14ac:dyDescent="0.55000000000000004">
      <c r="A300" s="4" t="s">
        <v>187</v>
      </c>
      <c r="B300" s="5">
        <v>56</v>
      </c>
      <c r="C300" s="5">
        <v>64</v>
      </c>
      <c r="D300" s="14" t="s">
        <v>17</v>
      </c>
      <c r="E300" s="7">
        <v>11</v>
      </c>
      <c r="F300" s="13" t="s">
        <v>16</v>
      </c>
      <c r="G300" s="7"/>
      <c r="H300" s="53"/>
    </row>
    <row r="301" spans="1:8" x14ac:dyDescent="0.55000000000000004">
      <c r="A301" s="6" t="s">
        <v>188</v>
      </c>
      <c r="B301" s="7">
        <v>63</v>
      </c>
      <c r="C301" s="7">
        <v>86</v>
      </c>
      <c r="D301" s="14" t="s">
        <v>17</v>
      </c>
      <c r="E301" s="7">
        <v>11</v>
      </c>
      <c r="F301" s="7" t="s">
        <v>16</v>
      </c>
      <c r="G301" s="7"/>
      <c r="H301" s="53"/>
    </row>
    <row r="302" spans="1:8" ht="14.7" thickBot="1" x14ac:dyDescent="0.6">
      <c r="A302" s="23" t="s">
        <v>189</v>
      </c>
      <c r="B302" s="12">
        <v>54</v>
      </c>
      <c r="C302" s="12">
        <v>58</v>
      </c>
      <c r="D302" s="16" t="s">
        <v>17</v>
      </c>
      <c r="E302" s="7">
        <v>11</v>
      </c>
      <c r="F302" s="15" t="s">
        <v>16</v>
      </c>
      <c r="G302" s="12">
        <v>471</v>
      </c>
      <c r="H302" s="61">
        <f>Tabla2691624[[#This Row],[Total cluster weight (g)]]/COUNTA(A300:A302)</f>
        <v>157</v>
      </c>
    </row>
    <row r="303" spans="1:8" x14ac:dyDescent="0.55000000000000004">
      <c r="A303" s="4" t="s">
        <v>200</v>
      </c>
      <c r="B303" s="5">
        <v>56</v>
      </c>
      <c r="C303" s="5">
        <v>57</v>
      </c>
      <c r="D303" s="14" t="s">
        <v>17</v>
      </c>
      <c r="E303" s="7">
        <v>12</v>
      </c>
      <c r="F303" s="13" t="s">
        <v>16</v>
      </c>
      <c r="G303" s="7"/>
      <c r="H303" s="53"/>
    </row>
    <row r="304" spans="1:8" x14ac:dyDescent="0.55000000000000004">
      <c r="A304" s="6" t="s">
        <v>201</v>
      </c>
      <c r="B304" s="7">
        <v>62</v>
      </c>
      <c r="C304" s="7">
        <v>65</v>
      </c>
      <c r="D304" s="14" t="s">
        <v>17</v>
      </c>
      <c r="E304" s="7">
        <v>12</v>
      </c>
      <c r="F304" s="7" t="s">
        <v>16</v>
      </c>
      <c r="G304" s="7"/>
      <c r="H304" s="53"/>
    </row>
    <row r="305" spans="1:8" ht="14.7" thickBot="1" x14ac:dyDescent="0.6">
      <c r="A305" s="23" t="s">
        <v>202</v>
      </c>
      <c r="B305" s="12">
        <v>59</v>
      </c>
      <c r="C305" s="12">
        <v>65</v>
      </c>
      <c r="D305" s="16" t="s">
        <v>17</v>
      </c>
      <c r="E305" s="7">
        <v>12</v>
      </c>
      <c r="F305" s="15" t="s">
        <v>16</v>
      </c>
      <c r="G305" s="12">
        <v>389</v>
      </c>
      <c r="H305" s="61">
        <f>Tabla2691624[[#This Row],[Total cluster weight (g)]]/COUNTA(A303:A305)</f>
        <v>129.66666666666666</v>
      </c>
    </row>
    <row r="306" spans="1:8" x14ac:dyDescent="0.55000000000000004">
      <c r="A306" s="19"/>
      <c r="B306" s="20"/>
      <c r="C306" s="2"/>
      <c r="D306" s="21"/>
      <c r="E306" s="2"/>
      <c r="F306" s="2"/>
      <c r="G306" s="2"/>
    </row>
    <row r="307" spans="1:8" x14ac:dyDescent="0.55000000000000004">
      <c r="A307" s="39" t="s">
        <v>61</v>
      </c>
      <c r="B307" s="35" t="s">
        <v>44</v>
      </c>
      <c r="C307" s="35" t="s">
        <v>45</v>
      </c>
      <c r="D307" s="35" t="s">
        <v>46</v>
      </c>
      <c r="E307" s="35" t="s">
        <v>47</v>
      </c>
      <c r="F307" s="36" t="s">
        <v>56</v>
      </c>
      <c r="G307" s="60" t="s">
        <v>72</v>
      </c>
    </row>
    <row r="308" spans="1:8" x14ac:dyDescent="0.55000000000000004">
      <c r="A308" s="40" t="s">
        <v>48</v>
      </c>
      <c r="B308" s="37">
        <f>AVERAGE(Tabla2691624[Height (mm)])</f>
        <v>57.867924528301884</v>
      </c>
      <c r="C308" s="37">
        <f>AVERAGE(Tabla2691624[Width (mm)])</f>
        <v>66.433962264150949</v>
      </c>
      <c r="D308" s="37">
        <f>MAX(Tabla2691624[[Cluster number ]])</f>
        <v>12</v>
      </c>
      <c r="E308" s="37">
        <f>AVERAGE(Tabla2691624[Tomato average weight per cluster])</f>
        <v>141.90138888888887</v>
      </c>
      <c r="F308" s="38">
        <f>COUNTA(Tabla2691624["L21" PLANT])</f>
        <v>53</v>
      </c>
      <c r="G308" s="59">
        <f>SUM(Tabla2691624[Total cluster weight (g)])</f>
        <v>7493</v>
      </c>
    </row>
    <row r="310" spans="1:8" x14ac:dyDescent="0.55000000000000004">
      <c r="A310" s="31" t="s">
        <v>68</v>
      </c>
      <c r="B310" s="32" t="s">
        <v>2</v>
      </c>
      <c r="C310" s="32" t="s">
        <v>3</v>
      </c>
      <c r="D310" s="32" t="s">
        <v>4</v>
      </c>
      <c r="E310" s="32" t="s">
        <v>62</v>
      </c>
      <c r="F310" s="32" t="s">
        <v>6</v>
      </c>
      <c r="G310" s="32" t="s">
        <v>7</v>
      </c>
      <c r="H310" s="33" t="s">
        <v>43</v>
      </c>
    </row>
    <row r="311" spans="1:8" x14ac:dyDescent="0.55000000000000004">
      <c r="A311" s="69" t="s">
        <v>78</v>
      </c>
      <c r="B311" s="78">
        <v>58</v>
      </c>
      <c r="C311" s="78">
        <v>72</v>
      </c>
      <c r="D311" s="71" t="s">
        <v>17</v>
      </c>
      <c r="E311" s="78">
        <v>1</v>
      </c>
      <c r="F311" s="78" t="s">
        <v>16</v>
      </c>
      <c r="G311" s="78"/>
      <c r="H311" s="78"/>
    </row>
    <row r="312" spans="1:8" x14ac:dyDescent="0.55000000000000004">
      <c r="A312" s="76" t="s">
        <v>112</v>
      </c>
      <c r="B312" s="74">
        <v>58</v>
      </c>
      <c r="C312" s="74">
        <v>71</v>
      </c>
      <c r="D312" s="67" t="s">
        <v>17</v>
      </c>
      <c r="E312" s="78">
        <v>1</v>
      </c>
      <c r="F312" s="74" t="s">
        <v>16</v>
      </c>
      <c r="G312" s="74"/>
      <c r="H312" s="74"/>
    </row>
    <row r="313" spans="1:8" x14ac:dyDescent="0.55000000000000004">
      <c r="A313" s="76" t="s">
        <v>113</v>
      </c>
      <c r="B313" s="74">
        <v>58</v>
      </c>
      <c r="C313" s="74">
        <v>75</v>
      </c>
      <c r="D313" s="67" t="s">
        <v>17</v>
      </c>
      <c r="E313" s="78">
        <v>1</v>
      </c>
      <c r="F313" s="74" t="s">
        <v>16</v>
      </c>
      <c r="G313" s="74"/>
      <c r="H313" s="74"/>
    </row>
    <row r="314" spans="1:8" x14ac:dyDescent="0.55000000000000004">
      <c r="A314" s="76" t="s">
        <v>40</v>
      </c>
      <c r="B314" s="74">
        <v>63</v>
      </c>
      <c r="C314" s="74">
        <v>74</v>
      </c>
      <c r="D314" s="67" t="s">
        <v>17</v>
      </c>
      <c r="E314" s="78">
        <v>1</v>
      </c>
      <c r="F314" s="74" t="s">
        <v>16</v>
      </c>
      <c r="G314" s="74"/>
      <c r="H314" s="74"/>
    </row>
    <row r="315" spans="1:8" ht="14.7" thickBot="1" x14ac:dyDescent="0.6">
      <c r="A315" s="79" t="s">
        <v>41</v>
      </c>
      <c r="B315" s="80">
        <v>60</v>
      </c>
      <c r="C315" s="80">
        <v>74</v>
      </c>
      <c r="D315" s="81" t="s">
        <v>17</v>
      </c>
      <c r="E315" s="78">
        <v>1</v>
      </c>
      <c r="F315" s="80" t="s">
        <v>16</v>
      </c>
      <c r="G315" s="80">
        <v>893</v>
      </c>
      <c r="H315" s="80">
        <f>G315/COUNTA(A311:A315)</f>
        <v>178.6</v>
      </c>
    </row>
    <row r="316" spans="1:8" x14ac:dyDescent="0.55000000000000004">
      <c r="A316" s="69" t="s">
        <v>42</v>
      </c>
      <c r="B316" s="78">
        <v>58</v>
      </c>
      <c r="C316" s="78">
        <v>69</v>
      </c>
      <c r="D316" s="71" t="s">
        <v>17</v>
      </c>
      <c r="E316" s="78">
        <v>2</v>
      </c>
      <c r="F316" s="78" t="s">
        <v>15</v>
      </c>
      <c r="G316" s="78"/>
      <c r="H316" s="78"/>
    </row>
    <row r="317" spans="1:8" x14ac:dyDescent="0.55000000000000004">
      <c r="A317" s="76" t="s">
        <v>63</v>
      </c>
      <c r="B317" s="74">
        <v>58</v>
      </c>
      <c r="C317" s="74">
        <v>73</v>
      </c>
      <c r="D317" s="67" t="s">
        <v>17</v>
      </c>
      <c r="E317" s="78">
        <v>2</v>
      </c>
      <c r="F317" s="74" t="s">
        <v>15</v>
      </c>
      <c r="G317" s="74"/>
      <c r="H317" s="74"/>
    </row>
    <row r="318" spans="1:8" x14ac:dyDescent="0.55000000000000004">
      <c r="A318" s="76" t="s">
        <v>64</v>
      </c>
      <c r="B318" s="74">
        <v>58</v>
      </c>
      <c r="C318" s="74">
        <v>74</v>
      </c>
      <c r="D318" s="67" t="s">
        <v>17</v>
      </c>
      <c r="E318" s="78">
        <v>2</v>
      </c>
      <c r="F318" s="74" t="s">
        <v>16</v>
      </c>
      <c r="G318" s="74"/>
      <c r="H318" s="74"/>
    </row>
    <row r="319" spans="1:8" x14ac:dyDescent="0.55000000000000004">
      <c r="A319" s="76" t="s">
        <v>65</v>
      </c>
      <c r="B319" s="74">
        <v>60</v>
      </c>
      <c r="C319" s="74">
        <v>74</v>
      </c>
      <c r="D319" s="67" t="s">
        <v>17</v>
      </c>
      <c r="E319" s="78">
        <v>2</v>
      </c>
      <c r="F319" s="74" t="s">
        <v>16</v>
      </c>
      <c r="G319" s="74"/>
      <c r="H319" s="74"/>
    </row>
    <row r="320" spans="1:8" ht="14.7" thickBot="1" x14ac:dyDescent="0.6">
      <c r="A320" s="79" t="s">
        <v>66</v>
      </c>
      <c r="B320" s="80">
        <v>58</v>
      </c>
      <c r="C320" s="80">
        <v>73</v>
      </c>
      <c r="D320" s="81" t="s">
        <v>17</v>
      </c>
      <c r="E320" s="78">
        <v>2</v>
      </c>
      <c r="F320" s="80" t="s">
        <v>16</v>
      </c>
      <c r="G320" s="80">
        <v>847</v>
      </c>
      <c r="H320" s="80">
        <f>G320/COUNTA(A316:A320)</f>
        <v>169.4</v>
      </c>
    </row>
    <row r="321" spans="1:8" x14ac:dyDescent="0.55000000000000004">
      <c r="A321" s="69" t="s">
        <v>67</v>
      </c>
      <c r="B321" s="78">
        <v>58</v>
      </c>
      <c r="C321" s="78">
        <v>70</v>
      </c>
      <c r="D321" s="71" t="s">
        <v>17</v>
      </c>
      <c r="E321" s="78">
        <v>3</v>
      </c>
      <c r="F321" s="78" t="s">
        <v>16</v>
      </c>
      <c r="G321" s="78"/>
      <c r="H321" s="78"/>
    </row>
    <row r="322" spans="1:8" x14ac:dyDescent="0.55000000000000004">
      <c r="A322" s="76" t="s">
        <v>70</v>
      </c>
      <c r="B322" s="74">
        <v>58</v>
      </c>
      <c r="C322" s="74">
        <v>72</v>
      </c>
      <c r="D322" s="67" t="s">
        <v>17</v>
      </c>
      <c r="E322" s="78">
        <v>3</v>
      </c>
      <c r="F322" s="74" t="s">
        <v>16</v>
      </c>
      <c r="G322" s="74"/>
      <c r="H322" s="74"/>
    </row>
    <row r="323" spans="1:8" x14ac:dyDescent="0.55000000000000004">
      <c r="A323" s="76" t="s">
        <v>71</v>
      </c>
      <c r="B323" s="74">
        <v>61</v>
      </c>
      <c r="C323" s="74">
        <v>68</v>
      </c>
      <c r="D323" s="67" t="s">
        <v>17</v>
      </c>
      <c r="E323" s="78">
        <v>3</v>
      </c>
      <c r="F323" s="74" t="s">
        <v>16</v>
      </c>
      <c r="G323" s="74"/>
      <c r="H323" s="74"/>
    </row>
    <row r="324" spans="1:8" x14ac:dyDescent="0.55000000000000004">
      <c r="A324" s="76" t="s">
        <v>73</v>
      </c>
      <c r="B324" s="74">
        <v>60</v>
      </c>
      <c r="C324" s="74">
        <v>70</v>
      </c>
      <c r="D324" s="67" t="s">
        <v>17</v>
      </c>
      <c r="E324" s="78">
        <v>3</v>
      </c>
      <c r="F324" s="74" t="s">
        <v>16</v>
      </c>
      <c r="G324" s="74"/>
      <c r="H324" s="74"/>
    </row>
    <row r="325" spans="1:8" ht="14.7" thickBot="1" x14ac:dyDescent="0.6">
      <c r="A325" s="79" t="s">
        <v>74</v>
      </c>
      <c r="B325" s="80">
        <v>59</v>
      </c>
      <c r="C325" s="80">
        <v>69</v>
      </c>
      <c r="D325" s="81" t="s">
        <v>17</v>
      </c>
      <c r="E325" s="78">
        <v>3</v>
      </c>
      <c r="F325" s="80" t="s">
        <v>16</v>
      </c>
      <c r="G325" s="80">
        <v>790</v>
      </c>
      <c r="H325" s="80">
        <f>G325/COUNTA(A321:A325)</f>
        <v>158</v>
      </c>
    </row>
    <row r="326" spans="1:8" x14ac:dyDescent="0.55000000000000004">
      <c r="A326" s="69" t="s">
        <v>75</v>
      </c>
      <c r="B326" s="78">
        <v>53</v>
      </c>
      <c r="C326" s="78">
        <v>69</v>
      </c>
      <c r="D326" s="71" t="s">
        <v>17</v>
      </c>
      <c r="E326" s="78">
        <v>4</v>
      </c>
      <c r="F326" s="78" t="s">
        <v>15</v>
      </c>
      <c r="G326" s="78"/>
      <c r="H326" s="78"/>
    </row>
    <row r="327" spans="1:8" x14ac:dyDescent="0.55000000000000004">
      <c r="A327" s="76" t="s">
        <v>76</v>
      </c>
      <c r="B327" s="74">
        <v>54</v>
      </c>
      <c r="C327" s="74">
        <v>70</v>
      </c>
      <c r="D327" s="67" t="s">
        <v>17</v>
      </c>
      <c r="E327" s="78">
        <v>4</v>
      </c>
      <c r="F327" s="74" t="s">
        <v>16</v>
      </c>
      <c r="G327" s="74"/>
      <c r="H327" s="74"/>
    </row>
    <row r="328" spans="1:8" x14ac:dyDescent="0.55000000000000004">
      <c r="A328" s="76" t="s">
        <v>77</v>
      </c>
      <c r="B328" s="74">
        <v>55</v>
      </c>
      <c r="C328" s="74">
        <v>68</v>
      </c>
      <c r="D328" s="67" t="s">
        <v>17</v>
      </c>
      <c r="E328" s="78">
        <v>4</v>
      </c>
      <c r="F328" s="74" t="s">
        <v>16</v>
      </c>
      <c r="G328" s="74"/>
      <c r="H328" s="74"/>
    </row>
    <row r="329" spans="1:8" x14ac:dyDescent="0.55000000000000004">
      <c r="A329" s="76" t="s">
        <v>83</v>
      </c>
      <c r="B329" s="74">
        <v>56</v>
      </c>
      <c r="C329" s="74">
        <v>68</v>
      </c>
      <c r="D329" s="67" t="s">
        <v>17</v>
      </c>
      <c r="E329" s="78">
        <v>4</v>
      </c>
      <c r="F329" s="74" t="s">
        <v>16</v>
      </c>
      <c r="G329" s="74"/>
      <c r="H329" s="74"/>
    </row>
    <row r="330" spans="1:8" ht="14.7" thickBot="1" x14ac:dyDescent="0.6">
      <c r="A330" s="79" t="s">
        <v>84</v>
      </c>
      <c r="B330" s="80">
        <v>59</v>
      </c>
      <c r="C330" s="80">
        <v>67</v>
      </c>
      <c r="D330" s="81" t="s">
        <v>17</v>
      </c>
      <c r="E330" s="78">
        <v>4</v>
      </c>
      <c r="F330" s="80" t="s">
        <v>16</v>
      </c>
      <c r="G330" s="80">
        <v>715.5</v>
      </c>
      <c r="H330" s="80">
        <f>G330/COUNTA(A326:A330)</f>
        <v>143.1</v>
      </c>
    </row>
    <row r="331" spans="1:8" x14ac:dyDescent="0.55000000000000004">
      <c r="A331" s="69" t="s">
        <v>85</v>
      </c>
      <c r="B331" s="78">
        <v>55</v>
      </c>
      <c r="C331" s="78">
        <v>71</v>
      </c>
      <c r="D331" s="71" t="s">
        <v>17</v>
      </c>
      <c r="E331" s="78">
        <v>5</v>
      </c>
      <c r="F331" s="78" t="s">
        <v>15</v>
      </c>
      <c r="G331" s="78"/>
      <c r="H331" s="78"/>
    </row>
    <row r="332" spans="1:8" x14ac:dyDescent="0.55000000000000004">
      <c r="A332" s="76" t="s">
        <v>86</v>
      </c>
      <c r="B332" s="74">
        <v>55</v>
      </c>
      <c r="C332" s="74">
        <v>71</v>
      </c>
      <c r="D332" s="67" t="s">
        <v>17</v>
      </c>
      <c r="E332" s="78">
        <v>5</v>
      </c>
      <c r="F332" s="74" t="s">
        <v>15</v>
      </c>
      <c r="G332" s="74"/>
      <c r="H332" s="74"/>
    </row>
    <row r="333" spans="1:8" x14ac:dyDescent="0.55000000000000004">
      <c r="A333" s="76" t="s">
        <v>87</v>
      </c>
      <c r="B333" s="74">
        <v>59</v>
      </c>
      <c r="C333" s="74">
        <v>71</v>
      </c>
      <c r="D333" s="67" t="s">
        <v>17</v>
      </c>
      <c r="E333" s="78">
        <v>5</v>
      </c>
      <c r="F333" s="74" t="s">
        <v>16</v>
      </c>
      <c r="G333" s="74"/>
      <c r="H333" s="74"/>
    </row>
    <row r="334" spans="1:8" ht="14.7" thickBot="1" x14ac:dyDescent="0.6">
      <c r="A334" s="79" t="s">
        <v>88</v>
      </c>
      <c r="B334" s="80">
        <v>59</v>
      </c>
      <c r="C334" s="80">
        <v>74</v>
      </c>
      <c r="D334" s="81" t="s">
        <v>17</v>
      </c>
      <c r="E334" s="78">
        <v>5</v>
      </c>
      <c r="F334" s="80" t="s">
        <v>16</v>
      </c>
      <c r="G334" s="80">
        <v>634</v>
      </c>
      <c r="H334" s="80">
        <f>G334/COUNTA(A331:A334)</f>
        <v>158.5</v>
      </c>
    </row>
    <row r="335" spans="1:8" x14ac:dyDescent="0.55000000000000004">
      <c r="A335" s="69" t="s">
        <v>89</v>
      </c>
      <c r="B335" s="78">
        <v>48</v>
      </c>
      <c r="C335" s="78">
        <v>65</v>
      </c>
      <c r="D335" s="71" t="s">
        <v>17</v>
      </c>
      <c r="E335" s="78">
        <v>6</v>
      </c>
      <c r="F335" s="78" t="s">
        <v>15</v>
      </c>
      <c r="G335" s="78"/>
      <c r="H335" s="78"/>
    </row>
    <row r="336" spans="1:8" x14ac:dyDescent="0.55000000000000004">
      <c r="A336" s="76" t="s">
        <v>99</v>
      </c>
      <c r="B336" s="74">
        <v>61</v>
      </c>
      <c r="C336" s="74">
        <v>68</v>
      </c>
      <c r="D336" s="67" t="s">
        <v>17</v>
      </c>
      <c r="E336" s="78">
        <v>6</v>
      </c>
      <c r="F336" s="74" t="s">
        <v>15</v>
      </c>
      <c r="G336" s="74"/>
      <c r="H336" s="74"/>
    </row>
    <row r="337" spans="1:9" x14ac:dyDescent="0.55000000000000004">
      <c r="A337" s="76" t="s">
        <v>91</v>
      </c>
      <c r="B337" s="74">
        <v>61</v>
      </c>
      <c r="C337" s="74">
        <v>72</v>
      </c>
      <c r="D337" s="67" t="s">
        <v>17</v>
      </c>
      <c r="E337" s="78">
        <v>6</v>
      </c>
      <c r="F337" s="74" t="s">
        <v>15</v>
      </c>
      <c r="G337" s="74"/>
      <c r="H337" s="74"/>
    </row>
    <row r="338" spans="1:9" ht="14.7" thickBot="1" x14ac:dyDescent="0.6">
      <c r="A338" s="79" t="s">
        <v>92</v>
      </c>
      <c r="B338" s="80">
        <v>59</v>
      </c>
      <c r="C338" s="80">
        <v>69</v>
      </c>
      <c r="D338" s="81" t="s">
        <v>17</v>
      </c>
      <c r="E338" s="78">
        <v>6</v>
      </c>
      <c r="F338" s="80" t="s">
        <v>15</v>
      </c>
      <c r="G338" s="80">
        <v>576</v>
      </c>
      <c r="H338" s="80">
        <f>G338/COUNTA(A335:A338)</f>
        <v>144</v>
      </c>
    </row>
    <row r="339" spans="1:9" x14ac:dyDescent="0.55000000000000004">
      <c r="A339" s="69" t="s">
        <v>171</v>
      </c>
      <c r="B339" s="78">
        <v>25</v>
      </c>
      <c r="C339" s="78">
        <v>45</v>
      </c>
      <c r="D339" s="71" t="s">
        <v>17</v>
      </c>
      <c r="E339" s="78">
        <v>7</v>
      </c>
      <c r="F339" s="78" t="s">
        <v>15</v>
      </c>
      <c r="G339" s="78"/>
      <c r="H339" s="78"/>
    </row>
    <row r="340" spans="1:9" x14ac:dyDescent="0.55000000000000004">
      <c r="A340" s="76" t="s">
        <v>172</v>
      </c>
      <c r="B340" s="74">
        <v>37</v>
      </c>
      <c r="C340" s="74">
        <v>61</v>
      </c>
      <c r="D340" s="67" t="s">
        <v>17</v>
      </c>
      <c r="E340" s="78">
        <v>7</v>
      </c>
      <c r="F340" s="74" t="s">
        <v>16</v>
      </c>
      <c r="G340" s="74"/>
      <c r="H340" s="74"/>
    </row>
    <row r="341" spans="1:9" x14ac:dyDescent="0.55000000000000004">
      <c r="A341" s="76" t="s">
        <v>173</v>
      </c>
      <c r="B341" s="74">
        <v>41</v>
      </c>
      <c r="C341" s="74">
        <v>57</v>
      </c>
      <c r="D341" s="67" t="s">
        <v>17</v>
      </c>
      <c r="E341" s="78">
        <v>7</v>
      </c>
      <c r="F341" s="74" t="s">
        <v>16</v>
      </c>
      <c r="G341" s="74"/>
      <c r="H341" s="74"/>
    </row>
    <row r="342" spans="1:9" x14ac:dyDescent="0.55000000000000004">
      <c r="A342" s="76" t="s">
        <v>108</v>
      </c>
      <c r="B342" s="74">
        <v>58</v>
      </c>
      <c r="C342" s="74">
        <v>66</v>
      </c>
      <c r="D342" s="67" t="s">
        <v>17</v>
      </c>
      <c r="E342" s="78">
        <v>7</v>
      </c>
      <c r="F342" s="74" t="s">
        <v>15</v>
      </c>
      <c r="G342" s="74"/>
      <c r="H342" s="74"/>
    </row>
    <row r="343" spans="1:9" ht="14.7" thickBot="1" x14ac:dyDescent="0.6">
      <c r="A343" s="79" t="s">
        <v>109</v>
      </c>
      <c r="B343" s="80">
        <v>65</v>
      </c>
      <c r="C343" s="80">
        <v>74</v>
      </c>
      <c r="D343" s="81" t="s">
        <v>17</v>
      </c>
      <c r="E343" s="78">
        <v>7</v>
      </c>
      <c r="F343" s="80" t="s">
        <v>16</v>
      </c>
      <c r="G343" s="80">
        <v>500.5</v>
      </c>
      <c r="H343" s="80">
        <f>G343/COUNTA(A339:A343)</f>
        <v>100.1</v>
      </c>
    </row>
    <row r="344" spans="1:9" x14ac:dyDescent="0.55000000000000004">
      <c r="A344" s="69" t="s">
        <v>190</v>
      </c>
      <c r="B344" s="78">
        <v>54</v>
      </c>
      <c r="C344" s="78">
        <v>71</v>
      </c>
      <c r="D344" s="71" t="s">
        <v>17</v>
      </c>
      <c r="E344" s="78">
        <v>8</v>
      </c>
      <c r="F344" s="78" t="s">
        <v>15</v>
      </c>
      <c r="G344" s="78"/>
      <c r="H344" s="78"/>
    </row>
    <row r="345" spans="1:9" x14ac:dyDescent="0.55000000000000004">
      <c r="A345" s="76" t="s">
        <v>191</v>
      </c>
      <c r="B345" s="74">
        <v>60</v>
      </c>
      <c r="C345" s="74">
        <v>77</v>
      </c>
      <c r="D345" s="67" t="s">
        <v>17</v>
      </c>
      <c r="E345" s="78">
        <v>8</v>
      </c>
      <c r="F345" s="74" t="s">
        <v>15</v>
      </c>
      <c r="G345" s="74"/>
      <c r="H345" s="74"/>
    </row>
    <row r="346" spans="1:9" x14ac:dyDescent="0.55000000000000004">
      <c r="A346" s="76" t="s">
        <v>119</v>
      </c>
      <c r="B346" s="74">
        <v>57</v>
      </c>
      <c r="C346" s="74">
        <v>76</v>
      </c>
      <c r="D346" s="67" t="s">
        <v>17</v>
      </c>
      <c r="E346" s="78">
        <v>8</v>
      </c>
      <c r="F346" s="74" t="s">
        <v>15</v>
      </c>
      <c r="G346" s="74"/>
      <c r="H346" s="74"/>
    </row>
    <row r="347" spans="1:9" ht="14.7" thickBot="1" x14ac:dyDescent="0.6">
      <c r="A347" s="79" t="s">
        <v>120</v>
      </c>
      <c r="B347" s="80">
        <v>62</v>
      </c>
      <c r="C347" s="80">
        <v>79</v>
      </c>
      <c r="D347" s="81" t="s">
        <v>17</v>
      </c>
      <c r="E347" s="78">
        <v>8</v>
      </c>
      <c r="F347" s="80" t="s">
        <v>15</v>
      </c>
      <c r="G347" s="80">
        <v>649</v>
      </c>
      <c r="H347" s="80">
        <f>G347/COUNTA(A344:A347)</f>
        <v>162.25</v>
      </c>
    </row>
    <row r="348" spans="1:9" x14ac:dyDescent="0.55000000000000004">
      <c r="A348" s="69" t="s">
        <v>121</v>
      </c>
      <c r="B348" s="78">
        <v>61</v>
      </c>
      <c r="C348" s="78">
        <v>70</v>
      </c>
      <c r="D348" s="71" t="s">
        <v>17</v>
      </c>
      <c r="E348" s="78">
        <v>9</v>
      </c>
      <c r="F348" s="78" t="s">
        <v>15</v>
      </c>
      <c r="G348" s="78"/>
      <c r="H348" s="78"/>
    </row>
    <row r="349" spans="1:9" x14ac:dyDescent="0.55000000000000004">
      <c r="A349" s="76" t="s">
        <v>122</v>
      </c>
      <c r="B349" s="74">
        <v>59</v>
      </c>
      <c r="C349" s="74">
        <v>64</v>
      </c>
      <c r="D349" s="67" t="s">
        <v>17</v>
      </c>
      <c r="E349" s="78">
        <v>9</v>
      </c>
      <c r="F349" s="74" t="s">
        <v>15</v>
      </c>
      <c r="G349" s="74"/>
      <c r="H349" s="74"/>
    </row>
    <row r="350" spans="1:9" x14ac:dyDescent="0.55000000000000004">
      <c r="A350" s="76" t="s">
        <v>123</v>
      </c>
      <c r="B350" s="74">
        <v>58</v>
      </c>
      <c r="C350" s="74">
        <v>64</v>
      </c>
      <c r="D350" s="67" t="s">
        <v>17</v>
      </c>
      <c r="E350" s="78">
        <v>9</v>
      </c>
      <c r="F350" s="74" t="s">
        <v>15</v>
      </c>
      <c r="G350" s="74"/>
      <c r="H350" s="74"/>
    </row>
    <row r="351" spans="1:9" ht="14.7" thickBot="1" x14ac:dyDescent="0.6">
      <c r="A351" s="79" t="s">
        <v>124</v>
      </c>
      <c r="B351" s="80">
        <v>60</v>
      </c>
      <c r="C351" s="80">
        <v>70</v>
      </c>
      <c r="D351" s="81" t="s">
        <v>17</v>
      </c>
      <c r="E351" s="78">
        <v>9</v>
      </c>
      <c r="F351" s="80" t="s">
        <v>15</v>
      </c>
      <c r="G351" s="80">
        <v>561.5</v>
      </c>
      <c r="H351" s="80">
        <f>G351/COUNTA(A348:A351)</f>
        <v>140.375</v>
      </c>
      <c r="I351" s="92"/>
    </row>
    <row r="352" spans="1:9" x14ac:dyDescent="0.55000000000000004">
      <c r="A352" s="69" t="s">
        <v>125</v>
      </c>
      <c r="B352" s="78">
        <v>55</v>
      </c>
      <c r="C352" s="78">
        <v>66</v>
      </c>
      <c r="D352" s="71" t="s">
        <v>17</v>
      </c>
      <c r="E352" s="78">
        <v>10</v>
      </c>
      <c r="F352" s="78" t="s">
        <v>15</v>
      </c>
      <c r="G352" s="78"/>
      <c r="H352" s="78"/>
    </row>
    <row r="353" spans="1:8" x14ac:dyDescent="0.55000000000000004">
      <c r="A353" s="76" t="s">
        <v>126</v>
      </c>
      <c r="B353" s="74">
        <v>59</v>
      </c>
      <c r="C353" s="74">
        <v>66</v>
      </c>
      <c r="D353" s="67" t="s">
        <v>17</v>
      </c>
      <c r="E353" s="78">
        <v>10</v>
      </c>
      <c r="F353" s="74" t="s">
        <v>16</v>
      </c>
      <c r="G353" s="74"/>
      <c r="H353" s="74"/>
    </row>
    <row r="354" spans="1:8" x14ac:dyDescent="0.55000000000000004">
      <c r="A354" s="76" t="s">
        <v>127</v>
      </c>
      <c r="B354" s="74">
        <v>61</v>
      </c>
      <c r="C354" s="74">
        <v>69</v>
      </c>
      <c r="D354" s="67" t="s">
        <v>17</v>
      </c>
      <c r="E354" s="78">
        <v>10</v>
      </c>
      <c r="F354" s="74" t="s">
        <v>16</v>
      </c>
      <c r="G354" s="74"/>
      <c r="H354" s="74"/>
    </row>
    <row r="355" spans="1:8" x14ac:dyDescent="0.55000000000000004">
      <c r="A355" s="76" t="s">
        <v>128</v>
      </c>
      <c r="B355" s="74">
        <v>59</v>
      </c>
      <c r="C355" s="74">
        <v>66</v>
      </c>
      <c r="D355" s="67" t="s">
        <v>17</v>
      </c>
      <c r="E355" s="78">
        <v>10</v>
      </c>
      <c r="F355" s="74" t="s">
        <v>16</v>
      </c>
      <c r="G355" s="74"/>
      <c r="H355" s="74"/>
    </row>
    <row r="356" spans="1:8" ht="14.7" thickBot="1" x14ac:dyDescent="0.6">
      <c r="A356" s="79" t="s">
        <v>131</v>
      </c>
      <c r="B356" s="80">
        <v>60</v>
      </c>
      <c r="C356" s="80">
        <v>73</v>
      </c>
      <c r="D356" s="81" t="s">
        <v>17</v>
      </c>
      <c r="E356" s="78">
        <v>10</v>
      </c>
      <c r="F356" s="80" t="s">
        <v>16</v>
      </c>
      <c r="G356" s="80">
        <v>718.5</v>
      </c>
      <c r="H356" s="80">
        <f>G356/COUNTA(A352:A356)</f>
        <v>143.69999999999999</v>
      </c>
    </row>
    <row r="357" spans="1:8" x14ac:dyDescent="0.55000000000000004">
      <c r="A357" s="115" t="s">
        <v>132</v>
      </c>
      <c r="B357" s="116">
        <v>58</v>
      </c>
      <c r="C357" s="116">
        <v>66</v>
      </c>
      <c r="D357" s="117" t="s">
        <v>17</v>
      </c>
      <c r="E357" s="116">
        <v>11</v>
      </c>
      <c r="F357" s="116" t="s">
        <v>15</v>
      </c>
      <c r="G357" s="116"/>
      <c r="H357" s="116"/>
    </row>
    <row r="358" spans="1:8" ht="14.7" thickBot="1" x14ac:dyDescent="0.6">
      <c r="A358" s="118" t="s">
        <v>133</v>
      </c>
      <c r="B358" s="119">
        <v>53</v>
      </c>
      <c r="C358" s="119">
        <v>64</v>
      </c>
      <c r="D358" s="120" t="s">
        <v>17</v>
      </c>
      <c r="E358" s="119">
        <v>11</v>
      </c>
      <c r="F358" s="119" t="s">
        <v>16</v>
      </c>
      <c r="G358" s="119">
        <v>251</v>
      </c>
      <c r="H358" s="119">
        <f>G358/COUNTA(A357:A358)</f>
        <v>125.5</v>
      </c>
    </row>
    <row r="359" spans="1:8" x14ac:dyDescent="0.55000000000000004">
      <c r="A359" s="115" t="s">
        <v>134</v>
      </c>
      <c r="B359" s="116">
        <v>58</v>
      </c>
      <c r="C359" s="116">
        <v>66</v>
      </c>
      <c r="D359" s="117" t="s">
        <v>17</v>
      </c>
      <c r="E359" s="116">
        <v>12</v>
      </c>
      <c r="F359" s="116" t="s">
        <v>16</v>
      </c>
      <c r="G359" s="116"/>
      <c r="H359" s="116"/>
    </row>
    <row r="360" spans="1:8" x14ac:dyDescent="0.55000000000000004">
      <c r="A360" s="112" t="s">
        <v>135</v>
      </c>
      <c r="B360" s="113">
        <v>57</v>
      </c>
      <c r="C360" s="113">
        <v>62</v>
      </c>
      <c r="D360" s="114" t="s">
        <v>17</v>
      </c>
      <c r="E360" s="116">
        <v>12</v>
      </c>
      <c r="F360" s="113" t="s">
        <v>16</v>
      </c>
      <c r="G360" s="113"/>
      <c r="H360" s="113"/>
    </row>
    <row r="361" spans="1:8" x14ac:dyDescent="0.55000000000000004">
      <c r="A361" s="112" t="s">
        <v>136</v>
      </c>
      <c r="B361" s="113">
        <v>58</v>
      </c>
      <c r="C361" s="113">
        <v>70</v>
      </c>
      <c r="D361" s="114" t="s">
        <v>17</v>
      </c>
      <c r="E361" s="116">
        <v>12</v>
      </c>
      <c r="F361" s="113" t="s">
        <v>16</v>
      </c>
      <c r="G361" s="113"/>
      <c r="H361" s="113"/>
    </row>
    <row r="362" spans="1:8" ht="14.7" thickBot="1" x14ac:dyDescent="0.6">
      <c r="A362" s="118" t="s">
        <v>137</v>
      </c>
      <c r="B362" s="119">
        <v>55</v>
      </c>
      <c r="C362" s="119">
        <v>62</v>
      </c>
      <c r="D362" s="120" t="s">
        <v>17</v>
      </c>
      <c r="E362" s="116">
        <v>12</v>
      </c>
      <c r="F362" s="119" t="s">
        <v>16</v>
      </c>
      <c r="G362" s="119">
        <v>511</v>
      </c>
      <c r="H362" s="119">
        <f>G362/COUNTA(A359:A362)</f>
        <v>127.75</v>
      </c>
    </row>
    <row r="364" spans="1:8" x14ac:dyDescent="0.55000000000000004">
      <c r="A364" s="39" t="s">
        <v>69</v>
      </c>
      <c r="B364" s="35" t="s">
        <v>44</v>
      </c>
      <c r="C364" s="35" t="s">
        <v>45</v>
      </c>
      <c r="D364" s="35" t="s">
        <v>46</v>
      </c>
      <c r="E364" s="35" t="s">
        <v>47</v>
      </c>
      <c r="F364" s="36" t="s">
        <v>56</v>
      </c>
      <c r="G364" s="60" t="s">
        <v>72</v>
      </c>
    </row>
    <row r="365" spans="1:8" x14ac:dyDescent="0.55000000000000004">
      <c r="A365" s="40" t="s">
        <v>48</v>
      </c>
      <c r="B365" s="37">
        <f>AVERAGE(Tabla140[Height (mm)])</f>
        <v>56.71153846153846</v>
      </c>
      <c r="C365" s="37">
        <f>AVERAGE(Tabla140[Width (mm)])</f>
        <v>68.942307692307693</v>
      </c>
      <c r="D365" s="37">
        <f>MAX(Tabla140[Cluster number *])</f>
        <v>12</v>
      </c>
      <c r="E365" s="37">
        <f>AVERAGE(Tabla140[Tomato average weight per cluster])</f>
        <v>145.93958333333333</v>
      </c>
      <c r="F365" s="38">
        <f>COUNTA(Tabla140["L24" PLANT])</f>
        <v>52</v>
      </c>
      <c r="G365" s="59">
        <f>SUM(Tabla140[Total cluster weight (g)])</f>
        <v>7647</v>
      </c>
    </row>
    <row r="367" spans="1:8" x14ac:dyDescent="0.55000000000000004">
      <c r="A367" s="31" t="s">
        <v>81</v>
      </c>
      <c r="B367" s="32" t="s">
        <v>2</v>
      </c>
      <c r="C367" s="32" t="s">
        <v>3</v>
      </c>
      <c r="D367" s="32" t="s">
        <v>4</v>
      </c>
      <c r="E367" s="32" t="s">
        <v>62</v>
      </c>
      <c r="F367" s="32" t="s">
        <v>6</v>
      </c>
      <c r="G367" s="32" t="s">
        <v>7</v>
      </c>
      <c r="H367" s="33" t="s">
        <v>43</v>
      </c>
    </row>
    <row r="368" spans="1:8" x14ac:dyDescent="0.55000000000000004">
      <c r="A368" s="69" t="s">
        <v>18</v>
      </c>
      <c r="B368" s="78">
        <v>53</v>
      </c>
      <c r="C368" s="78">
        <v>59</v>
      </c>
      <c r="D368" s="71" t="s">
        <v>17</v>
      </c>
      <c r="E368" s="78">
        <v>1</v>
      </c>
      <c r="F368" s="78" t="s">
        <v>15</v>
      </c>
      <c r="G368" s="78"/>
      <c r="H368" s="72"/>
    </row>
    <row r="369" spans="1:8" x14ac:dyDescent="0.55000000000000004">
      <c r="A369" s="76" t="s">
        <v>24</v>
      </c>
      <c r="B369" s="74">
        <v>54</v>
      </c>
      <c r="C369" s="74">
        <v>62</v>
      </c>
      <c r="D369" s="67" t="s">
        <v>17</v>
      </c>
      <c r="E369" s="78">
        <v>1</v>
      </c>
      <c r="F369" s="74" t="s">
        <v>15</v>
      </c>
      <c r="G369" s="74"/>
      <c r="H369" s="68"/>
    </row>
    <row r="370" spans="1:8" x14ac:dyDescent="0.55000000000000004">
      <c r="A370" s="76" t="s">
        <v>25</v>
      </c>
      <c r="B370" s="74">
        <v>56</v>
      </c>
      <c r="C370" s="74">
        <v>60</v>
      </c>
      <c r="D370" s="67" t="s">
        <v>17</v>
      </c>
      <c r="E370" s="78">
        <v>1</v>
      </c>
      <c r="F370" s="74" t="s">
        <v>15</v>
      </c>
      <c r="G370" s="74"/>
      <c r="H370" s="68"/>
    </row>
    <row r="371" spans="1:8" x14ac:dyDescent="0.55000000000000004">
      <c r="A371" s="76" t="s">
        <v>21</v>
      </c>
      <c r="B371" s="74">
        <v>58</v>
      </c>
      <c r="C371" s="74">
        <v>63</v>
      </c>
      <c r="D371" s="67" t="s">
        <v>17</v>
      </c>
      <c r="E371" s="78">
        <v>1</v>
      </c>
      <c r="F371" s="74" t="s">
        <v>15</v>
      </c>
      <c r="G371" s="74"/>
      <c r="H371" s="68"/>
    </row>
    <row r="372" spans="1:8" ht="14.7" thickBot="1" x14ac:dyDescent="0.6">
      <c r="A372" s="79" t="s">
        <v>22</v>
      </c>
      <c r="B372" s="80">
        <v>60</v>
      </c>
      <c r="C372" s="80">
        <v>69</v>
      </c>
      <c r="D372" s="81" t="s">
        <v>17</v>
      </c>
      <c r="E372" s="78">
        <v>1</v>
      </c>
      <c r="F372" s="80" t="s">
        <v>16</v>
      </c>
      <c r="G372" s="80">
        <v>611</v>
      </c>
      <c r="H372" s="73">
        <f>Tabla144[[#This Row],[Total cluster weight (g)]]/COUNTA(A368:A372)</f>
        <v>122.2</v>
      </c>
    </row>
    <row r="373" spans="1:8" x14ac:dyDescent="0.55000000000000004">
      <c r="A373" s="69" t="s">
        <v>37</v>
      </c>
      <c r="B373" s="78">
        <v>53</v>
      </c>
      <c r="C373" s="78">
        <v>64</v>
      </c>
      <c r="D373" s="71" t="s">
        <v>17</v>
      </c>
      <c r="E373" s="78">
        <v>2</v>
      </c>
      <c r="F373" s="78" t="s">
        <v>15</v>
      </c>
      <c r="G373" s="78"/>
      <c r="H373" s="72"/>
    </row>
    <row r="374" spans="1:8" x14ac:dyDescent="0.55000000000000004">
      <c r="A374" s="76" t="s">
        <v>114</v>
      </c>
      <c r="B374" s="74">
        <v>58</v>
      </c>
      <c r="C374" s="74">
        <v>68</v>
      </c>
      <c r="D374" s="67" t="s">
        <v>17</v>
      </c>
      <c r="E374" s="78">
        <v>2</v>
      </c>
      <c r="F374" s="74" t="s">
        <v>16</v>
      </c>
      <c r="G374" s="74"/>
      <c r="H374" s="68"/>
    </row>
    <row r="375" spans="1:8" x14ac:dyDescent="0.55000000000000004">
      <c r="A375" s="76" t="s">
        <v>29</v>
      </c>
      <c r="B375" s="74">
        <v>54</v>
      </c>
      <c r="C375" s="74">
        <v>65</v>
      </c>
      <c r="D375" s="67" t="s">
        <v>17</v>
      </c>
      <c r="E375" s="78">
        <v>2</v>
      </c>
      <c r="F375" s="74" t="s">
        <v>16</v>
      </c>
      <c r="G375" s="74"/>
      <c r="H375" s="68"/>
    </row>
    <row r="376" spans="1:8" x14ac:dyDescent="0.55000000000000004">
      <c r="A376" s="76" t="s">
        <v>26</v>
      </c>
      <c r="B376" s="74">
        <v>55</v>
      </c>
      <c r="C376" s="74">
        <v>64</v>
      </c>
      <c r="D376" s="67" t="s">
        <v>17</v>
      </c>
      <c r="E376" s="78">
        <v>2</v>
      </c>
      <c r="F376" s="74" t="s">
        <v>16</v>
      </c>
      <c r="G376" s="74"/>
      <c r="H376" s="68"/>
    </row>
    <row r="377" spans="1:8" ht="14.7" thickBot="1" x14ac:dyDescent="0.6">
      <c r="A377" s="79" t="s">
        <v>27</v>
      </c>
      <c r="B377" s="80">
        <v>58</v>
      </c>
      <c r="C377" s="80">
        <v>73</v>
      </c>
      <c r="D377" s="81" t="s">
        <v>17</v>
      </c>
      <c r="E377" s="78">
        <v>2</v>
      </c>
      <c r="F377" s="80" t="s">
        <v>16</v>
      </c>
      <c r="G377" s="80">
        <v>693</v>
      </c>
      <c r="H377" s="73">
        <f>Tabla144[[#This Row],[Total cluster weight (g)]]/COUNTA(A373:A377)</f>
        <v>138.6</v>
      </c>
    </row>
    <row r="378" spans="1:8" x14ac:dyDescent="0.55000000000000004">
      <c r="A378" s="69" t="s">
        <v>28</v>
      </c>
      <c r="B378" s="78">
        <v>58</v>
      </c>
      <c r="C378" s="78">
        <v>66</v>
      </c>
      <c r="D378" s="71" t="s">
        <v>17</v>
      </c>
      <c r="E378" s="78">
        <v>3</v>
      </c>
      <c r="F378" s="78" t="s">
        <v>16</v>
      </c>
      <c r="G378" s="78"/>
      <c r="H378" s="72"/>
    </row>
    <row r="379" spans="1:8" x14ac:dyDescent="0.55000000000000004">
      <c r="A379" s="76" t="s">
        <v>36</v>
      </c>
      <c r="B379" s="74">
        <v>56</v>
      </c>
      <c r="C379" s="74">
        <v>64</v>
      </c>
      <c r="D379" s="67" t="s">
        <v>17</v>
      </c>
      <c r="E379" s="78">
        <v>3</v>
      </c>
      <c r="F379" s="74" t="s">
        <v>16</v>
      </c>
      <c r="G379" s="74"/>
      <c r="H379" s="68"/>
    </row>
    <row r="380" spans="1:8" x14ac:dyDescent="0.55000000000000004">
      <c r="A380" s="76" t="s">
        <v>38</v>
      </c>
      <c r="B380" s="74">
        <v>58</v>
      </c>
      <c r="C380" s="74">
        <v>67</v>
      </c>
      <c r="D380" s="67" t="s">
        <v>17</v>
      </c>
      <c r="E380" s="78">
        <v>3</v>
      </c>
      <c r="F380" s="74" t="s">
        <v>16</v>
      </c>
      <c r="G380" s="74"/>
      <c r="H380" s="68"/>
    </row>
    <row r="381" spans="1:8" x14ac:dyDescent="0.55000000000000004">
      <c r="A381" s="76" t="s">
        <v>39</v>
      </c>
      <c r="B381" s="74">
        <v>56</v>
      </c>
      <c r="C381" s="74">
        <v>65</v>
      </c>
      <c r="D381" s="67" t="s">
        <v>17</v>
      </c>
      <c r="E381" s="78">
        <v>3</v>
      </c>
      <c r="F381" s="74" t="s">
        <v>16</v>
      </c>
      <c r="G381" s="74"/>
      <c r="H381" s="68"/>
    </row>
    <row r="382" spans="1:8" ht="14.7" thickBot="1" x14ac:dyDescent="0.6">
      <c r="A382" s="79" t="s">
        <v>40</v>
      </c>
      <c r="B382" s="80">
        <v>55</v>
      </c>
      <c r="C382" s="80">
        <v>65</v>
      </c>
      <c r="D382" s="81" t="s">
        <v>17</v>
      </c>
      <c r="E382" s="78">
        <v>3</v>
      </c>
      <c r="F382" s="80" t="s">
        <v>16</v>
      </c>
      <c r="G382" s="80">
        <v>663</v>
      </c>
      <c r="H382" s="73">
        <f>Tabla144[[#This Row],[Total cluster weight (g)]]/COUNTA(A378:A382)</f>
        <v>132.6</v>
      </c>
    </row>
    <row r="383" spans="1:8" x14ac:dyDescent="0.55000000000000004">
      <c r="A383" s="69" t="s">
        <v>41</v>
      </c>
      <c r="B383" s="78">
        <v>60</v>
      </c>
      <c r="C383" s="78">
        <v>68</v>
      </c>
      <c r="D383" s="71" t="s">
        <v>17</v>
      </c>
      <c r="E383" s="78">
        <v>4</v>
      </c>
      <c r="F383" s="78" t="s">
        <v>16</v>
      </c>
      <c r="G383" s="78"/>
      <c r="H383" s="72"/>
    </row>
    <row r="384" spans="1:8" x14ac:dyDescent="0.55000000000000004">
      <c r="A384" s="76" t="s">
        <v>42</v>
      </c>
      <c r="B384" s="74">
        <v>59</v>
      </c>
      <c r="C384" s="74">
        <v>68</v>
      </c>
      <c r="D384" s="67" t="s">
        <v>17</v>
      </c>
      <c r="E384" s="78">
        <v>4</v>
      </c>
      <c r="F384" s="74" t="s">
        <v>16</v>
      </c>
      <c r="G384" s="74"/>
      <c r="H384" s="68"/>
    </row>
    <row r="385" spans="1:8" x14ac:dyDescent="0.55000000000000004">
      <c r="A385" s="76" t="s">
        <v>63</v>
      </c>
      <c r="B385" s="74">
        <v>60</v>
      </c>
      <c r="C385" s="74">
        <v>69</v>
      </c>
      <c r="D385" s="67" t="s">
        <v>17</v>
      </c>
      <c r="E385" s="78">
        <v>4</v>
      </c>
      <c r="F385" s="74" t="s">
        <v>16</v>
      </c>
      <c r="G385" s="74"/>
      <c r="H385" s="68"/>
    </row>
    <row r="386" spans="1:8" x14ac:dyDescent="0.55000000000000004">
      <c r="A386" s="76" t="s">
        <v>64</v>
      </c>
      <c r="B386" s="74">
        <v>60</v>
      </c>
      <c r="C386" s="74">
        <v>65</v>
      </c>
      <c r="D386" s="67" t="s">
        <v>17</v>
      </c>
      <c r="E386" s="78">
        <v>4</v>
      </c>
      <c r="F386" s="74" t="s">
        <v>16</v>
      </c>
      <c r="G386" s="74"/>
      <c r="H386" s="68"/>
    </row>
    <row r="387" spans="1:8" ht="14.7" thickBot="1" x14ac:dyDescent="0.6">
      <c r="A387" s="79" t="s">
        <v>65</v>
      </c>
      <c r="B387" s="80">
        <v>58</v>
      </c>
      <c r="C387" s="80">
        <v>70</v>
      </c>
      <c r="D387" s="81" t="s">
        <v>17</v>
      </c>
      <c r="E387" s="78">
        <v>4</v>
      </c>
      <c r="F387" s="80" t="s">
        <v>16</v>
      </c>
      <c r="G387" s="80">
        <v>721.5</v>
      </c>
      <c r="H387" s="73">
        <f>Tabla144[[#This Row],[Total cluster weight (g)]]/COUNTA(A383:A387)</f>
        <v>144.30000000000001</v>
      </c>
    </row>
    <row r="388" spans="1:8" x14ac:dyDescent="0.55000000000000004">
      <c r="A388" s="69" t="s">
        <v>66</v>
      </c>
      <c r="B388" s="78">
        <v>59</v>
      </c>
      <c r="C388" s="78">
        <v>72</v>
      </c>
      <c r="D388" s="71" t="s">
        <v>17</v>
      </c>
      <c r="E388" s="78">
        <v>5</v>
      </c>
      <c r="F388" s="78" t="s">
        <v>15</v>
      </c>
      <c r="G388" s="78"/>
      <c r="H388" s="72"/>
    </row>
    <row r="389" spans="1:8" x14ac:dyDescent="0.55000000000000004">
      <c r="A389" s="76" t="s">
        <v>67</v>
      </c>
      <c r="B389" s="74">
        <v>58</v>
      </c>
      <c r="C389" s="74">
        <v>71</v>
      </c>
      <c r="D389" s="67" t="s">
        <v>17</v>
      </c>
      <c r="E389" s="78">
        <v>5</v>
      </c>
      <c r="F389" s="74" t="s">
        <v>15</v>
      </c>
      <c r="G389" s="74"/>
      <c r="H389" s="68"/>
    </row>
    <row r="390" spans="1:8" x14ac:dyDescent="0.55000000000000004">
      <c r="A390" s="76" t="s">
        <v>70</v>
      </c>
      <c r="B390" s="74">
        <v>59</v>
      </c>
      <c r="C390" s="74">
        <v>75</v>
      </c>
      <c r="D390" s="67" t="s">
        <v>17</v>
      </c>
      <c r="E390" s="78">
        <v>5</v>
      </c>
      <c r="F390" s="74" t="s">
        <v>15</v>
      </c>
      <c r="G390" s="74"/>
      <c r="H390" s="68"/>
    </row>
    <row r="391" spans="1:8" ht="14.7" thickBot="1" x14ac:dyDescent="0.6">
      <c r="A391" s="79" t="s">
        <v>71</v>
      </c>
      <c r="B391" s="80">
        <v>58</v>
      </c>
      <c r="C391" s="80">
        <v>78</v>
      </c>
      <c r="D391" s="81" t="s">
        <v>17</v>
      </c>
      <c r="E391" s="78">
        <v>5</v>
      </c>
      <c r="F391" s="80" t="s">
        <v>15</v>
      </c>
      <c r="G391" s="80">
        <v>679</v>
      </c>
      <c r="H391" s="73">
        <f>Tabla144[[#This Row],[Total cluster weight (g)]]/COUNTA(A388:A391)</f>
        <v>169.75</v>
      </c>
    </row>
    <row r="392" spans="1:8" x14ac:dyDescent="0.55000000000000004">
      <c r="A392" s="69" t="s">
        <v>73</v>
      </c>
      <c r="B392" s="78">
        <v>59</v>
      </c>
      <c r="C392" s="78">
        <v>66</v>
      </c>
      <c r="D392" s="71" t="s">
        <v>17</v>
      </c>
      <c r="E392" s="78">
        <v>6</v>
      </c>
      <c r="F392" s="78" t="s">
        <v>16</v>
      </c>
      <c r="G392" s="78"/>
      <c r="H392" s="72"/>
    </row>
    <row r="393" spans="1:8" x14ac:dyDescent="0.55000000000000004">
      <c r="A393" s="76" t="s">
        <v>74</v>
      </c>
      <c r="B393" s="74">
        <v>59</v>
      </c>
      <c r="C393" s="74">
        <v>66</v>
      </c>
      <c r="D393" s="67" t="s">
        <v>17</v>
      </c>
      <c r="E393" s="78">
        <v>6</v>
      </c>
      <c r="F393" s="74" t="s">
        <v>16</v>
      </c>
      <c r="G393" s="74"/>
      <c r="H393" s="68"/>
    </row>
    <row r="394" spans="1:8" x14ac:dyDescent="0.55000000000000004">
      <c r="A394" s="76" t="s">
        <v>75</v>
      </c>
      <c r="B394" s="74">
        <v>56</v>
      </c>
      <c r="C394" s="74">
        <v>67</v>
      </c>
      <c r="D394" s="67" t="s">
        <v>17</v>
      </c>
      <c r="E394" s="78">
        <v>6</v>
      </c>
      <c r="F394" s="74" t="s">
        <v>16</v>
      </c>
      <c r="G394" s="74"/>
      <c r="H394" s="68"/>
    </row>
    <row r="395" spans="1:8" x14ac:dyDescent="0.55000000000000004">
      <c r="A395" s="76" t="s">
        <v>76</v>
      </c>
      <c r="B395" s="74">
        <v>57</v>
      </c>
      <c r="C395" s="74">
        <v>69</v>
      </c>
      <c r="D395" s="67" t="s">
        <v>17</v>
      </c>
      <c r="E395" s="78">
        <v>6</v>
      </c>
      <c r="F395" s="74" t="s">
        <v>16</v>
      </c>
      <c r="G395" s="74"/>
      <c r="H395" s="68"/>
    </row>
    <row r="396" spans="1:8" ht="14.7" thickBot="1" x14ac:dyDescent="0.6">
      <c r="A396" s="79" t="s">
        <v>77</v>
      </c>
      <c r="B396" s="80">
        <v>57</v>
      </c>
      <c r="C396" s="80">
        <v>70</v>
      </c>
      <c r="D396" s="81" t="s">
        <v>17</v>
      </c>
      <c r="E396" s="78">
        <v>6</v>
      </c>
      <c r="F396" s="80" t="s">
        <v>16</v>
      </c>
      <c r="G396" s="80">
        <v>744.5</v>
      </c>
      <c r="H396" s="73">
        <f>Tabla144[[#This Row],[Total cluster weight (g)]]/COUNTA(A392:A396)</f>
        <v>148.9</v>
      </c>
    </row>
    <row r="397" spans="1:8" x14ac:dyDescent="0.55000000000000004">
      <c r="A397" s="69" t="s">
        <v>83</v>
      </c>
      <c r="B397" s="78">
        <v>60</v>
      </c>
      <c r="C397" s="78">
        <v>65</v>
      </c>
      <c r="D397" s="71" t="s">
        <v>17</v>
      </c>
      <c r="E397" s="78">
        <v>7</v>
      </c>
      <c r="F397" s="78" t="s">
        <v>16</v>
      </c>
      <c r="G397" s="78"/>
      <c r="H397" s="72"/>
    </row>
    <row r="398" spans="1:8" x14ac:dyDescent="0.55000000000000004">
      <c r="A398" s="76" t="s">
        <v>84</v>
      </c>
      <c r="B398" s="74">
        <v>61</v>
      </c>
      <c r="C398" s="74">
        <v>66</v>
      </c>
      <c r="D398" s="67" t="s">
        <v>17</v>
      </c>
      <c r="E398" s="78">
        <v>7</v>
      </c>
      <c r="F398" s="74" t="s">
        <v>16</v>
      </c>
      <c r="G398" s="74"/>
      <c r="H398" s="68"/>
    </row>
    <row r="399" spans="1:8" x14ac:dyDescent="0.55000000000000004">
      <c r="A399" s="76" t="s">
        <v>85</v>
      </c>
      <c r="B399" s="74">
        <v>61</v>
      </c>
      <c r="C399" s="74">
        <v>72</v>
      </c>
      <c r="D399" s="67" t="s">
        <v>17</v>
      </c>
      <c r="E399" s="78">
        <v>7</v>
      </c>
      <c r="F399" s="74" t="s">
        <v>16</v>
      </c>
      <c r="G399" s="74"/>
      <c r="H399" s="68"/>
    </row>
    <row r="400" spans="1:8" x14ac:dyDescent="0.55000000000000004">
      <c r="A400" s="76" t="s">
        <v>86</v>
      </c>
      <c r="B400" s="74">
        <v>59</v>
      </c>
      <c r="C400" s="74">
        <v>66</v>
      </c>
      <c r="D400" s="67" t="s">
        <v>17</v>
      </c>
      <c r="E400" s="78">
        <v>7</v>
      </c>
      <c r="F400" s="74" t="s">
        <v>16</v>
      </c>
      <c r="G400" s="74"/>
      <c r="H400" s="68"/>
    </row>
    <row r="401" spans="1:9" ht="14.7" thickBot="1" x14ac:dyDescent="0.6">
      <c r="A401" s="79" t="s">
        <v>87</v>
      </c>
      <c r="B401" s="80">
        <v>60</v>
      </c>
      <c r="C401" s="80">
        <v>71</v>
      </c>
      <c r="D401" s="81" t="s">
        <v>17</v>
      </c>
      <c r="E401" s="78">
        <v>7</v>
      </c>
      <c r="F401" s="80" t="s">
        <v>16</v>
      </c>
      <c r="G401" s="80">
        <v>730</v>
      </c>
      <c r="H401" s="73">
        <f>Tabla144[[#This Row],[Total cluster weight (g)]]/COUNTA(A397:A401)</f>
        <v>146</v>
      </c>
    </row>
    <row r="402" spans="1:9" x14ac:dyDescent="0.55000000000000004">
      <c r="A402" s="69" t="s">
        <v>88</v>
      </c>
      <c r="B402" s="78">
        <v>59</v>
      </c>
      <c r="C402" s="78">
        <v>66</v>
      </c>
      <c r="D402" s="71" t="s">
        <v>17</v>
      </c>
      <c r="E402" s="78">
        <v>8</v>
      </c>
      <c r="F402" s="78" t="s">
        <v>15</v>
      </c>
      <c r="G402" s="78"/>
      <c r="H402" s="72"/>
    </row>
    <row r="403" spans="1:9" x14ac:dyDescent="0.55000000000000004">
      <c r="A403" s="76" t="s">
        <v>89</v>
      </c>
      <c r="B403" s="74">
        <v>58</v>
      </c>
      <c r="C403" s="74">
        <v>66</v>
      </c>
      <c r="D403" s="67" t="s">
        <v>17</v>
      </c>
      <c r="E403" s="78">
        <v>8</v>
      </c>
      <c r="F403" s="74" t="s">
        <v>15</v>
      </c>
      <c r="G403" s="74"/>
      <c r="H403" s="68"/>
    </row>
    <row r="404" spans="1:9" x14ac:dyDescent="0.55000000000000004">
      <c r="A404" s="76" t="s">
        <v>99</v>
      </c>
      <c r="B404" s="74">
        <v>56</v>
      </c>
      <c r="C404" s="74">
        <v>63</v>
      </c>
      <c r="D404" s="67" t="s">
        <v>17</v>
      </c>
      <c r="E404" s="78">
        <v>8</v>
      </c>
      <c r="F404" s="74" t="s">
        <v>16</v>
      </c>
      <c r="G404" s="74"/>
      <c r="H404" s="68"/>
    </row>
    <row r="405" spans="1:9" x14ac:dyDescent="0.55000000000000004">
      <c r="A405" s="76" t="s">
        <v>91</v>
      </c>
      <c r="B405" s="74">
        <v>60</v>
      </c>
      <c r="C405" s="74">
        <v>68</v>
      </c>
      <c r="D405" s="67" t="s">
        <v>17</v>
      </c>
      <c r="E405" s="78">
        <v>8</v>
      </c>
      <c r="F405" s="74" t="s">
        <v>16</v>
      </c>
      <c r="G405" s="74"/>
      <c r="H405" s="68"/>
    </row>
    <row r="406" spans="1:9" ht="14.7" thickBot="1" x14ac:dyDescent="0.6">
      <c r="A406" s="79" t="s">
        <v>92</v>
      </c>
      <c r="B406" s="80">
        <v>58</v>
      </c>
      <c r="C406" s="80">
        <v>66</v>
      </c>
      <c r="D406" s="81" t="s">
        <v>17</v>
      </c>
      <c r="E406" s="78">
        <v>8</v>
      </c>
      <c r="F406" s="80" t="s">
        <v>16</v>
      </c>
      <c r="G406" s="80">
        <v>662.5</v>
      </c>
      <c r="H406" s="73">
        <f>Tabla144[[#This Row],[Total cluster weight (g)]]/COUNTA(A402:A406)</f>
        <v>132.5</v>
      </c>
    </row>
    <row r="407" spans="1:9" x14ac:dyDescent="0.55000000000000004">
      <c r="A407" s="69" t="s">
        <v>174</v>
      </c>
      <c r="B407" s="78">
        <v>57</v>
      </c>
      <c r="C407" s="78">
        <v>68</v>
      </c>
      <c r="D407" s="71" t="s">
        <v>17</v>
      </c>
      <c r="E407" s="78">
        <v>9</v>
      </c>
      <c r="F407" s="78" t="s">
        <v>16</v>
      </c>
      <c r="G407" s="78"/>
      <c r="H407" s="72"/>
    </row>
    <row r="408" spans="1:9" x14ac:dyDescent="0.55000000000000004">
      <c r="A408" s="76" t="s">
        <v>175</v>
      </c>
      <c r="B408" s="74">
        <v>59</v>
      </c>
      <c r="C408" s="74">
        <v>68</v>
      </c>
      <c r="D408" s="67" t="s">
        <v>17</v>
      </c>
      <c r="E408" s="78">
        <v>9</v>
      </c>
      <c r="F408" s="74" t="s">
        <v>16</v>
      </c>
      <c r="G408" s="74"/>
      <c r="H408" s="68"/>
    </row>
    <row r="409" spans="1:9" x14ac:dyDescent="0.55000000000000004">
      <c r="A409" s="76" t="s">
        <v>176</v>
      </c>
      <c r="B409" s="74">
        <v>59</v>
      </c>
      <c r="C409" s="74">
        <v>69</v>
      </c>
      <c r="D409" s="67" t="s">
        <v>17</v>
      </c>
      <c r="E409" s="78">
        <v>9</v>
      </c>
      <c r="F409" s="74" t="s">
        <v>16</v>
      </c>
      <c r="G409" s="74"/>
      <c r="H409" s="68"/>
    </row>
    <row r="410" spans="1:9" ht="14.7" thickBot="1" x14ac:dyDescent="0.6">
      <c r="A410" s="79" t="s">
        <v>108</v>
      </c>
      <c r="B410" s="80">
        <v>61</v>
      </c>
      <c r="C410" s="80">
        <v>72</v>
      </c>
      <c r="D410" s="81" t="s">
        <v>17</v>
      </c>
      <c r="E410" s="78">
        <v>9</v>
      </c>
      <c r="F410" s="80" t="s">
        <v>16</v>
      </c>
      <c r="G410" s="80">
        <v>606</v>
      </c>
      <c r="H410" s="73">
        <f>Tabla144[[#This Row],[Total cluster weight (g)]]/COUNTA(A407:A410)</f>
        <v>151.5</v>
      </c>
    </row>
    <row r="411" spans="1:9" x14ac:dyDescent="0.55000000000000004">
      <c r="A411" s="69" t="s">
        <v>109</v>
      </c>
      <c r="B411" s="78">
        <v>59</v>
      </c>
      <c r="C411" s="78">
        <v>66</v>
      </c>
      <c r="D411" s="71" t="s">
        <v>17</v>
      </c>
      <c r="E411" s="78">
        <v>10</v>
      </c>
      <c r="F411" s="78" t="s">
        <v>16</v>
      </c>
      <c r="G411" s="78"/>
      <c r="H411" s="72"/>
    </row>
    <row r="412" spans="1:9" x14ac:dyDescent="0.55000000000000004">
      <c r="A412" s="76" t="s">
        <v>110</v>
      </c>
      <c r="B412" s="74">
        <v>59</v>
      </c>
      <c r="C412" s="74">
        <v>71</v>
      </c>
      <c r="D412" s="67" t="s">
        <v>17</v>
      </c>
      <c r="E412" s="78">
        <v>10</v>
      </c>
      <c r="F412" s="74" t="s">
        <v>16</v>
      </c>
      <c r="G412" s="74"/>
      <c r="H412" s="68"/>
    </row>
    <row r="413" spans="1:9" x14ac:dyDescent="0.55000000000000004">
      <c r="A413" s="76" t="s">
        <v>111</v>
      </c>
      <c r="B413" s="74">
        <v>64</v>
      </c>
      <c r="C413" s="74">
        <v>76</v>
      </c>
      <c r="D413" s="67" t="s">
        <v>17</v>
      </c>
      <c r="E413" s="78">
        <v>10</v>
      </c>
      <c r="F413" s="74" t="s">
        <v>16</v>
      </c>
      <c r="G413" s="74"/>
      <c r="H413" s="68"/>
      <c r="I413" s="93"/>
    </row>
    <row r="414" spans="1:9" ht="14.7" thickBot="1" x14ac:dyDescent="0.6">
      <c r="A414" s="79" t="s">
        <v>119</v>
      </c>
      <c r="B414" s="80">
        <v>54</v>
      </c>
      <c r="C414" s="80">
        <v>60</v>
      </c>
      <c r="D414" s="81" t="s">
        <v>17</v>
      </c>
      <c r="E414" s="78">
        <v>10</v>
      </c>
      <c r="F414" s="80" t="s">
        <v>15</v>
      </c>
      <c r="G414" s="80">
        <v>569.5</v>
      </c>
      <c r="H414" s="73">
        <f>Tabla144[[#This Row],[Total cluster weight (g)]]/COUNTA(A411:A414)</f>
        <v>142.375</v>
      </c>
    </row>
    <row r="415" spans="1:9" x14ac:dyDescent="0.55000000000000004">
      <c r="A415" s="69" t="s">
        <v>120</v>
      </c>
      <c r="B415" s="78">
        <v>60</v>
      </c>
      <c r="C415" s="78">
        <v>69</v>
      </c>
      <c r="D415" s="71" t="s">
        <v>17</v>
      </c>
      <c r="E415" s="78">
        <v>11</v>
      </c>
      <c r="F415" s="78" t="s">
        <v>16</v>
      </c>
      <c r="G415" s="78"/>
      <c r="H415" s="72"/>
    </row>
    <row r="416" spans="1:9" x14ac:dyDescent="0.55000000000000004">
      <c r="A416" s="76" t="s">
        <v>121</v>
      </c>
      <c r="B416" s="74">
        <v>61</v>
      </c>
      <c r="C416" s="74">
        <v>71</v>
      </c>
      <c r="D416" s="67" t="s">
        <v>17</v>
      </c>
      <c r="E416" s="78">
        <v>11</v>
      </c>
      <c r="F416" s="74" t="s">
        <v>16</v>
      </c>
      <c r="G416" s="74"/>
      <c r="H416" s="68"/>
    </row>
    <row r="417" spans="1:8" x14ac:dyDescent="0.55000000000000004">
      <c r="A417" s="76" t="s">
        <v>122</v>
      </c>
      <c r="B417" s="74">
        <v>51</v>
      </c>
      <c r="C417" s="74">
        <v>54</v>
      </c>
      <c r="D417" s="67" t="s">
        <v>17</v>
      </c>
      <c r="E417" s="78">
        <v>11</v>
      </c>
      <c r="F417" s="74" t="s">
        <v>15</v>
      </c>
      <c r="G417" s="74"/>
      <c r="H417" s="68"/>
    </row>
    <row r="418" spans="1:8" x14ac:dyDescent="0.55000000000000004">
      <c r="A418" s="76" t="s">
        <v>123</v>
      </c>
      <c r="B418" s="74">
        <v>60</v>
      </c>
      <c r="C418" s="74">
        <v>73</v>
      </c>
      <c r="D418" s="67" t="s">
        <v>17</v>
      </c>
      <c r="E418" s="78">
        <v>11</v>
      </c>
      <c r="F418" s="74" t="s">
        <v>16</v>
      </c>
      <c r="G418" s="74"/>
      <c r="H418" s="68"/>
    </row>
    <row r="419" spans="1:8" ht="14.7" thickBot="1" x14ac:dyDescent="0.6">
      <c r="A419" s="79" t="s">
        <v>124</v>
      </c>
      <c r="B419" s="80">
        <v>60</v>
      </c>
      <c r="C419" s="80">
        <v>72</v>
      </c>
      <c r="D419" s="81" t="s">
        <v>17</v>
      </c>
      <c r="E419" s="78">
        <v>11</v>
      </c>
      <c r="F419" s="80" t="s">
        <v>16</v>
      </c>
      <c r="G419" s="80">
        <v>728</v>
      </c>
      <c r="H419" s="73">
        <f>Tabla144[[#This Row],[Total cluster weight (g)]]/COUNTA(A415:A419)</f>
        <v>145.6</v>
      </c>
    </row>
    <row r="420" spans="1:8" x14ac:dyDescent="0.55000000000000004">
      <c r="A420" s="69" t="s">
        <v>125</v>
      </c>
      <c r="B420" s="78">
        <v>62</v>
      </c>
      <c r="C420" s="78">
        <v>71</v>
      </c>
      <c r="D420" s="71" t="s">
        <v>17</v>
      </c>
      <c r="E420" s="78">
        <v>12</v>
      </c>
      <c r="F420" s="78" t="s">
        <v>16</v>
      </c>
      <c r="G420" s="78"/>
      <c r="H420" s="72"/>
    </row>
    <row r="421" spans="1:8" x14ac:dyDescent="0.55000000000000004">
      <c r="A421" s="76" t="s">
        <v>126</v>
      </c>
      <c r="B421" s="74">
        <v>58</v>
      </c>
      <c r="C421" s="74">
        <v>68</v>
      </c>
      <c r="D421" s="67" t="s">
        <v>17</v>
      </c>
      <c r="E421" s="78">
        <v>12</v>
      </c>
      <c r="F421" s="74" t="s">
        <v>16</v>
      </c>
      <c r="G421" s="74"/>
      <c r="H421" s="68"/>
    </row>
    <row r="422" spans="1:8" x14ac:dyDescent="0.55000000000000004">
      <c r="A422" s="76" t="s">
        <v>127</v>
      </c>
      <c r="B422" s="74">
        <v>59</v>
      </c>
      <c r="C422" s="74">
        <v>66</v>
      </c>
      <c r="D422" s="67" t="s">
        <v>17</v>
      </c>
      <c r="E422" s="78">
        <v>12</v>
      </c>
      <c r="F422" s="74" t="s">
        <v>16</v>
      </c>
      <c r="G422" s="74"/>
      <c r="H422" s="68"/>
    </row>
    <row r="423" spans="1:8" ht="14.7" thickBot="1" x14ac:dyDescent="0.6">
      <c r="A423" s="79" t="s">
        <v>128</v>
      </c>
      <c r="B423" s="80">
        <v>56</v>
      </c>
      <c r="C423" s="80">
        <v>66</v>
      </c>
      <c r="D423" s="81" t="s">
        <v>17</v>
      </c>
      <c r="E423" s="78">
        <v>12</v>
      </c>
      <c r="F423" s="80" t="s">
        <v>16</v>
      </c>
      <c r="G423" s="80">
        <v>593</v>
      </c>
      <c r="H423" s="73">
        <f>Tabla144[[#This Row],[Total cluster weight (g)]]/COUNTA(A420:A423)</f>
        <v>148.25</v>
      </c>
    </row>
    <row r="424" spans="1:8" x14ac:dyDescent="0.55000000000000004">
      <c r="A424" s="115" t="s">
        <v>131</v>
      </c>
      <c r="B424" s="116">
        <v>62</v>
      </c>
      <c r="C424" s="116">
        <v>77</v>
      </c>
      <c r="D424" s="117" t="s">
        <v>17</v>
      </c>
      <c r="E424" s="116">
        <v>13</v>
      </c>
      <c r="F424" s="116" t="s">
        <v>23</v>
      </c>
      <c r="G424" s="116"/>
      <c r="H424" s="122"/>
    </row>
    <row r="425" spans="1:8" x14ac:dyDescent="0.55000000000000004">
      <c r="A425" s="112" t="s">
        <v>132</v>
      </c>
      <c r="B425" s="113">
        <v>59</v>
      </c>
      <c r="C425" s="113">
        <v>66</v>
      </c>
      <c r="D425" s="114" t="s">
        <v>17</v>
      </c>
      <c r="E425" s="116">
        <v>13</v>
      </c>
      <c r="F425" s="113" t="s">
        <v>15</v>
      </c>
      <c r="G425" s="113"/>
      <c r="H425" s="121"/>
    </row>
    <row r="426" spans="1:8" x14ac:dyDescent="0.55000000000000004">
      <c r="A426" s="112" t="s">
        <v>133</v>
      </c>
      <c r="B426" s="113">
        <v>60</v>
      </c>
      <c r="C426" s="113">
        <v>70</v>
      </c>
      <c r="D426" s="114" t="s">
        <v>17</v>
      </c>
      <c r="E426" s="116">
        <v>13</v>
      </c>
      <c r="F426" s="113" t="s">
        <v>16</v>
      </c>
      <c r="G426" s="113"/>
      <c r="H426" s="121"/>
    </row>
    <row r="427" spans="1:8" x14ac:dyDescent="0.55000000000000004">
      <c r="A427" s="112" t="s">
        <v>134</v>
      </c>
      <c r="B427" s="113">
        <v>60</v>
      </c>
      <c r="C427" s="113">
        <v>68</v>
      </c>
      <c r="D427" s="114" t="s">
        <v>17</v>
      </c>
      <c r="E427" s="116">
        <v>13</v>
      </c>
      <c r="F427" s="113" t="s">
        <v>16</v>
      </c>
      <c r="G427" s="113"/>
      <c r="H427" s="121"/>
    </row>
    <row r="428" spans="1:8" x14ac:dyDescent="0.55000000000000004">
      <c r="A428" s="112" t="s">
        <v>135</v>
      </c>
      <c r="B428" s="113">
        <v>64</v>
      </c>
      <c r="C428" s="113">
        <v>72</v>
      </c>
      <c r="D428" s="114" t="s">
        <v>17</v>
      </c>
      <c r="E428" s="116">
        <v>13</v>
      </c>
      <c r="F428" s="113" t="s">
        <v>16</v>
      </c>
      <c r="G428" s="113"/>
      <c r="H428" s="121"/>
    </row>
    <row r="429" spans="1:8" ht="14.7" thickBot="1" x14ac:dyDescent="0.6">
      <c r="A429" s="118" t="s">
        <v>136</v>
      </c>
      <c r="B429" s="119">
        <v>60</v>
      </c>
      <c r="C429" s="119">
        <v>70</v>
      </c>
      <c r="D429" s="120" t="s">
        <v>17</v>
      </c>
      <c r="E429" s="116">
        <v>13</v>
      </c>
      <c r="F429" s="119" t="s">
        <v>16</v>
      </c>
      <c r="G429" s="119">
        <v>990</v>
      </c>
      <c r="H429" s="123">
        <f>Tabla144[[#This Row],[Total cluster weight (g)]]/COUNTA(A424:A429)</f>
        <v>165</v>
      </c>
    </row>
    <row r="431" spans="1:8" x14ac:dyDescent="0.55000000000000004">
      <c r="A431" s="39" t="s">
        <v>82</v>
      </c>
      <c r="B431" s="35" t="s">
        <v>44</v>
      </c>
      <c r="C431" s="35" t="s">
        <v>45</v>
      </c>
      <c r="D431" s="35" t="s">
        <v>46</v>
      </c>
      <c r="E431" s="35" t="s">
        <v>47</v>
      </c>
      <c r="F431" s="36" t="s">
        <v>56</v>
      </c>
      <c r="G431" s="60" t="s">
        <v>72</v>
      </c>
    </row>
    <row r="432" spans="1:8" x14ac:dyDescent="0.55000000000000004">
      <c r="A432" s="40" t="s">
        <v>48</v>
      </c>
      <c r="B432" s="37">
        <f>AVERAGE(Tabla144[Height (mm)])</f>
        <v>58.338709677419352</v>
      </c>
      <c r="C432" s="37">
        <f>AVERAGE(Tabla144[Width (mm)])</f>
        <v>67.741935483870961</v>
      </c>
      <c r="D432" s="37">
        <f>MAX(Tabla144[Cluster number *])</f>
        <v>13</v>
      </c>
      <c r="E432" s="37">
        <f>AVERAGE(Tabla144[Tomato average weight per cluster])</f>
        <v>145.19807692307691</v>
      </c>
      <c r="F432" s="38">
        <f>COUNTA(Tabla144["L25" PLANT])</f>
        <v>62</v>
      </c>
      <c r="G432" s="59">
        <f>SUM(Tabla144[Total cluster weight (g)])</f>
        <v>8991</v>
      </c>
    </row>
  </sheetData>
  <pageMargins left="0.7" right="0.7" top="0.75" bottom="0.75" header="0.3" footer="0.3"/>
  <ignoredErrors>
    <ignoredError sqref="H372 H377 H387 H382 H391 H396 H401 H406 H410 H414 H419 H423 H429" calculatedColumn="1"/>
  </ignoredErrors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Treatment C</vt:lpstr>
      <vt:lpstr>Treatment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2025-02-17T13:17:33Z</dcterms:modified>
</cp:coreProperties>
</file>